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60" yWindow="-30" windowWidth="7335" windowHeight="7215" tabRatio="946" activeTab="18"/>
  </bookViews>
  <sheets>
    <sheet name="CVR" sheetId="23" r:id="rId1"/>
    <sheet name="RINGKSAN" sheetId="73" r:id="rId2"/>
    <sheet name="RKP" sheetId="19" r:id="rId3"/>
    <sheet name="Litrik" sheetId="5" r:id="rId4"/>
    <sheet name="Hon Keu" sheetId="27" r:id="rId5"/>
    <sheet name="ATK" sheetId="28" r:id="rId6"/>
    <sheet name="cetak" sheetId="29" r:id="rId7"/>
    <sheet name="listrik" sheetId="30" r:id="rId8"/>
    <sheet name="alat kbersihan" sheetId="31" r:id="rId9"/>
    <sheet name="Koran" sheetId="32" r:id="rId10"/>
    <sheet name="makan" sheetId="33" r:id="rId11"/>
    <sheet name="Perj.Din. LD" sheetId="75" r:id="rId12"/>
    <sheet name="Perj.Din. DD" sheetId="34" r:id="rId13"/>
    <sheet name="PHL" sheetId="74" r:id="rId14"/>
    <sheet name="rumdin" sheetId="37" r:id="rId15"/>
    <sheet name="Ged.K" sheetId="38" r:id="rId16"/>
    <sheet name="Kend" sheetId="39" r:id="rId17"/>
    <sheet name="alat.k" sheetId="40" r:id="rId18"/>
    <sheet name="Pel.Um" sheetId="36" r:id="rId19"/>
  </sheets>
  <externalReferences>
    <externalReference r:id="rId20"/>
  </externalReferences>
  <definedNames>
    <definedName name="_xlnm.Print_Area" localSheetId="8">'alat kbersihan'!$A$1:$AA$68</definedName>
    <definedName name="_xlnm.Print_Area" localSheetId="17">alat.k!$A$1:$AA$58</definedName>
    <definedName name="_xlnm.Print_Area" localSheetId="5">ATK!$A$1:$AB$117</definedName>
    <definedName name="_xlnm.Print_Area" localSheetId="6">cetak!$A$1:$AA$59</definedName>
    <definedName name="_xlnm.Print_Area" localSheetId="15">Ged.K!$A$1:$AA$60</definedName>
    <definedName name="_xlnm.Print_Area" localSheetId="4">'Hon Keu'!$A$1:$AA$65</definedName>
    <definedName name="_xlnm.Print_Area" localSheetId="16">Kend!$A$1:$AA$64</definedName>
    <definedName name="_xlnm.Print_Area" localSheetId="9">Koran!$A$1:$AA$58</definedName>
    <definedName name="_xlnm.Print_Area" localSheetId="7">listrik!$A$1:$AA$64</definedName>
    <definedName name="_xlnm.Print_Area" localSheetId="3">Litrik!$A$1:$AA$57</definedName>
    <definedName name="_xlnm.Print_Area" localSheetId="10">makan!$A$1:$AA$53</definedName>
    <definedName name="_xlnm.Print_Area" localSheetId="18">Pel.Um!$A$1:$AA$59</definedName>
    <definedName name="_xlnm.Print_Area" localSheetId="12">'Perj.Din. DD'!$A$1:$AA$62</definedName>
    <definedName name="_xlnm.Print_Area" localSheetId="11">'Perj.Din. LD'!$A$1:$AA$65</definedName>
    <definedName name="_xlnm.Print_Area" localSheetId="13">PHL!$A$1:$AA$63</definedName>
    <definedName name="_xlnm.Print_Area" localSheetId="1">RINGKSAN!$A$1:$Y$63</definedName>
    <definedName name="_xlnm.Print_Area" localSheetId="2">RKP!$A$1:$K$106</definedName>
    <definedName name="_xlnm.Print_Area" localSheetId="14">rumdin!$A$1:$AA$63</definedName>
    <definedName name="_xlnm.Print_Titles" localSheetId="2">RKP!$13:$13</definedName>
  </definedNames>
  <calcPr calcId="144525"/>
</workbook>
</file>

<file path=xl/calcChain.xml><?xml version="1.0" encoding="utf-8"?>
<calcChain xmlns="http://schemas.openxmlformats.org/spreadsheetml/2006/main">
  <c r="AE30" i="31" l="1"/>
  <c r="AD34" i="33" l="1"/>
  <c r="AC32" i="33" l="1"/>
  <c r="AC31" i="33"/>
  <c r="AC28" i="30"/>
  <c r="AE58" i="28"/>
  <c r="AE48" i="28"/>
  <c r="AE47" i="28"/>
  <c r="AH40" i="38" l="1"/>
  <c r="AG27" i="38"/>
  <c r="AG40" i="38" s="1"/>
  <c r="AF27" i="38"/>
  <c r="AG26" i="38"/>
  <c r="AH28" i="38"/>
  <c r="AH29" i="38"/>
  <c r="AH30" i="38"/>
  <c r="AH31" i="38"/>
  <c r="AH32" i="38"/>
  <c r="AH33" i="38"/>
  <c r="AH34" i="38"/>
  <c r="AH35" i="38"/>
  <c r="AH36" i="38"/>
  <c r="AH37" i="38"/>
  <c r="AH38" i="38"/>
  <c r="AH27" i="38"/>
  <c r="AG29" i="38"/>
  <c r="AG28" i="38"/>
  <c r="AF29" i="38"/>
  <c r="AE29" i="38"/>
  <c r="AE28" i="38"/>
  <c r="AF28" i="38"/>
  <c r="AF26" i="38" s="1"/>
  <c r="AE27" i="38"/>
  <c r="AD29" i="38"/>
  <c r="AD27" i="38"/>
  <c r="AD26" i="38" s="1"/>
  <c r="AD32" i="38"/>
  <c r="AD38" i="38"/>
  <c r="AC26" i="37"/>
  <c r="AE26" i="37"/>
  <c r="AH26" i="38" l="1"/>
  <c r="AC26" i="38"/>
  <c r="AC38" i="37"/>
  <c r="AC24" i="37"/>
  <c r="AE65" i="28" l="1"/>
  <c r="AG24" i="29" l="1"/>
  <c r="AC30" i="31" l="1"/>
  <c r="L49" i="19" l="1"/>
  <c r="L48" i="19"/>
  <c r="L46" i="19"/>
  <c r="L45" i="19"/>
  <c r="L44" i="19"/>
  <c r="L43" i="19"/>
  <c r="L41" i="19"/>
  <c r="AE26" i="38" l="1"/>
  <c r="V17" i="73"/>
  <c r="K65" i="19" l="1"/>
  <c r="K64" i="19" s="1"/>
  <c r="K62" i="19"/>
  <c r="K61" i="19"/>
  <c r="K56" i="19"/>
  <c r="K55" i="19" s="1"/>
  <c r="K51" i="19"/>
  <c r="K50" i="19" s="1"/>
  <c r="K46" i="19" l="1"/>
  <c r="K41" i="19"/>
  <c r="K40" i="19" s="1"/>
  <c r="K38" i="19"/>
  <c r="K34" i="19"/>
  <c r="K29" i="19"/>
  <c r="K28" i="19"/>
  <c r="J25" i="19"/>
  <c r="I25" i="19"/>
  <c r="H25" i="19"/>
  <c r="G25" i="19"/>
  <c r="AN34" i="75"/>
  <c r="AD34" i="75"/>
  <c r="Y40" i="75"/>
  <c r="Y28" i="75"/>
  <c r="Y34" i="75"/>
  <c r="Y25" i="39"/>
  <c r="Y27" i="27" l="1"/>
  <c r="Y35" i="27"/>
  <c r="G52" i="31" l="1"/>
  <c r="G50" i="31"/>
  <c r="AG45" i="31"/>
  <c r="Y30" i="31"/>
  <c r="AG29" i="31"/>
  <c r="AG28" i="31"/>
  <c r="AC45" i="31"/>
  <c r="G49" i="31" s="1"/>
  <c r="AC39" i="31"/>
  <c r="AF38" i="31"/>
  <c r="AE38" i="31"/>
  <c r="AD38" i="31"/>
  <c r="AC38" i="31"/>
  <c r="AF36" i="31"/>
  <c r="AE36" i="31"/>
  <c r="AD36" i="31"/>
  <c r="AC36" i="31"/>
  <c r="Y36" i="27" l="1"/>
  <c r="C56" i="27"/>
  <c r="C88" i="28" s="1"/>
  <c r="AE30" i="27"/>
  <c r="AE29" i="27" l="1"/>
  <c r="I89" i="19" l="1"/>
  <c r="K56" i="73"/>
  <c r="G81" i="28" l="1"/>
  <c r="G80" i="28"/>
  <c r="G79" i="28"/>
  <c r="AE73" i="28"/>
  <c r="AK73" i="28"/>
  <c r="AF73" i="28"/>
  <c r="AE31" i="28"/>
  <c r="AK27" i="28"/>
  <c r="AE27" i="28"/>
  <c r="AD27" i="28"/>
  <c r="AM42" i="28"/>
  <c r="AE42" i="28"/>
  <c r="AD42" i="28"/>
  <c r="AG39" i="28"/>
  <c r="AD39" i="28"/>
  <c r="AG38" i="28"/>
  <c r="AD38" i="28"/>
  <c r="AD37" i="28"/>
  <c r="AG37" i="28"/>
  <c r="AK32" i="28"/>
  <c r="AJ32" i="28"/>
  <c r="AL29" i="28"/>
  <c r="AD32" i="28"/>
  <c r="AG32" i="28"/>
  <c r="AI29" i="28"/>
  <c r="AK29" i="28"/>
  <c r="AD29" i="28"/>
  <c r="AD28" i="28"/>
  <c r="AG28" i="28"/>
  <c r="AL27" i="28"/>
  <c r="AH27" i="28"/>
  <c r="AJ27" i="28"/>
  <c r="AL64" i="28"/>
  <c r="AJ64" i="28"/>
  <c r="AK64" i="28"/>
  <c r="AG64" i="28"/>
  <c r="AD64" i="28"/>
  <c r="AF64" i="28"/>
  <c r="AF66" i="28"/>
  <c r="AL74" i="28"/>
  <c r="AH74" i="28"/>
  <c r="AF74" i="28"/>
  <c r="AI73" i="28"/>
  <c r="AJ72" i="28"/>
  <c r="AF72" i="28"/>
  <c r="AL71" i="28"/>
  <c r="AH71" i="28"/>
  <c r="AF71" i="28"/>
  <c r="AH70" i="28"/>
  <c r="AG70" i="28"/>
  <c r="AF70" i="28"/>
  <c r="AD70" i="28"/>
  <c r="AL69" i="28"/>
  <c r="AJ69" i="28"/>
  <c r="AF69" i="28"/>
  <c r="AF68" i="28"/>
  <c r="AH67" i="28"/>
  <c r="AL67" i="28"/>
  <c r="AF67" i="28"/>
  <c r="AH66" i="28"/>
  <c r="AD66" i="28"/>
  <c r="AG66" i="28"/>
  <c r="AL66" i="28"/>
  <c r="AL65" i="28"/>
  <c r="AJ65" i="28"/>
  <c r="AH65" i="28"/>
  <c r="AF65" i="28"/>
  <c r="AH64" i="28"/>
  <c r="AL70" i="28"/>
  <c r="AJ66" i="28"/>
  <c r="AI66" i="28"/>
  <c r="AL63" i="28"/>
  <c r="AK63" i="28"/>
  <c r="AJ63" i="28"/>
  <c r="AI63" i="28"/>
  <c r="AH63" i="28"/>
  <c r="AG63" i="28"/>
  <c r="AF63" i="28"/>
  <c r="AD63" i="28"/>
  <c r="AK50" i="28"/>
  <c r="AL50" i="28"/>
  <c r="AJ50" i="28"/>
  <c r="AI50" i="28"/>
  <c r="AH50" i="28"/>
  <c r="AG50" i="28"/>
  <c r="AF50" i="28"/>
  <c r="AD50" i="28"/>
  <c r="AL49" i="28"/>
  <c r="AK49" i="28"/>
  <c r="AI49" i="28"/>
  <c r="AH49" i="28"/>
  <c r="AF49" i="28"/>
  <c r="AJ48" i="28"/>
  <c r="AK48" i="28"/>
  <c r="AI48" i="28"/>
  <c r="AL48" i="28"/>
  <c r="AH48" i="28"/>
  <c r="AF48" i="28"/>
  <c r="AD48" i="28"/>
  <c r="AK46" i="28"/>
  <c r="AJ46" i="28"/>
  <c r="AI46" i="28"/>
  <c r="AH46" i="28"/>
  <c r="AG46" i="28"/>
  <c r="AF46" i="28"/>
  <c r="AD46" i="28"/>
  <c r="AD47" i="28"/>
  <c r="AF45" i="28"/>
  <c r="AD45" i="28"/>
  <c r="AL45" i="28"/>
  <c r="AI45" i="28"/>
  <c r="AG45" i="28"/>
  <c r="AI44" i="28"/>
  <c r="AK44" i="28"/>
  <c r="AD44" i="28"/>
  <c r="AJ43" i="28"/>
  <c r="AH43" i="28"/>
  <c r="AD43" i="28"/>
  <c r="AK42" i="28"/>
  <c r="AJ42" i="28"/>
  <c r="AL42" i="28"/>
  <c r="AI42" i="28"/>
  <c r="AG42" i="28"/>
  <c r="AF41" i="28"/>
  <c r="AM41" i="28" s="1"/>
  <c r="AL40" i="28"/>
  <c r="AK40" i="28"/>
  <c r="AI40" i="28"/>
  <c r="AH40" i="28"/>
  <c r="AD40" i="28"/>
  <c r="AL39" i="28"/>
  <c r="AJ39" i="28"/>
  <c r="AH39" i="28"/>
  <c r="AK38" i="28"/>
  <c r="AJ38" i="28"/>
  <c r="AH38" i="28"/>
  <c r="AL38" i="28"/>
  <c r="AF37" i="28"/>
  <c r="AI37" i="28"/>
  <c r="AL37" i="28"/>
  <c r="AK37" i="28"/>
  <c r="AH36" i="28"/>
  <c r="AL36" i="28"/>
  <c r="AK36" i="28"/>
  <c r="AJ36" i="28"/>
  <c r="AI36" i="28"/>
  <c r="AG36" i="28"/>
  <c r="AF36" i="28"/>
  <c r="AD36" i="28"/>
  <c r="AL35" i="28"/>
  <c r="AG35" i="28"/>
  <c r="AD35" i="28"/>
  <c r="AG34" i="28"/>
  <c r="AF34" i="28"/>
  <c r="AD34" i="28"/>
  <c r="AG33" i="28"/>
  <c r="AD33" i="28"/>
  <c r="AF32" i="28"/>
  <c r="AL31" i="28"/>
  <c r="AI30" i="28"/>
  <c r="AD30" i="28"/>
  <c r="AG29" i="28"/>
  <c r="AL28" i="28"/>
  <c r="AK28" i="28"/>
  <c r="AJ28" i="28"/>
  <c r="AI28" i="28"/>
  <c r="AH28" i="28"/>
  <c r="AM68" i="28"/>
  <c r="AM63" i="28"/>
  <c r="AG48" i="28"/>
  <c r="AM48" i="28"/>
  <c r="AL47" i="28"/>
  <c r="AL46" i="28"/>
  <c r="AL44" i="28"/>
  <c r="AL43" i="28"/>
  <c r="AL41" i="28"/>
  <c r="AJ37" i="28"/>
  <c r="AH37" i="28"/>
  <c r="AL34" i="28"/>
  <c r="AL33" i="28"/>
  <c r="AL32" i="28"/>
  <c r="AL30" i="28"/>
  <c r="AI27" i="28"/>
  <c r="AG27" i="28"/>
  <c r="AF27" i="28"/>
  <c r="G48" i="39"/>
  <c r="G47" i="39"/>
  <c r="G46" i="39"/>
  <c r="G45" i="39"/>
  <c r="AO42" i="39"/>
  <c r="Y42" i="39"/>
  <c r="AO41" i="39"/>
  <c r="Y41" i="39"/>
  <c r="Y40" i="39" s="1"/>
  <c r="AL40" i="39"/>
  <c r="AI40" i="39"/>
  <c r="AF40" i="39"/>
  <c r="AC40" i="39"/>
  <c r="AO39" i="39"/>
  <c r="Y39" i="39"/>
  <c r="AP38" i="39"/>
  <c r="AO38" i="39"/>
  <c r="Y38" i="39"/>
  <c r="Y37" i="39"/>
  <c r="AL32" i="39"/>
  <c r="AI32" i="39"/>
  <c r="AF32" i="39"/>
  <c r="AO36" i="39"/>
  <c r="Y36" i="39"/>
  <c r="AP35" i="39"/>
  <c r="AO35" i="39"/>
  <c r="Y35" i="39"/>
  <c r="AO34" i="39"/>
  <c r="Y34" i="39"/>
  <c r="Y32" i="39" s="1"/>
  <c r="AC32" i="39"/>
  <c r="AO31" i="39"/>
  <c r="Y31" i="39"/>
  <c r="AO30" i="39"/>
  <c r="Y30" i="39"/>
  <c r="AL29" i="39"/>
  <c r="AI29" i="39"/>
  <c r="AF29" i="39"/>
  <c r="AC29" i="39"/>
  <c r="AO29" i="39" s="1"/>
  <c r="Y29" i="39"/>
  <c r="AO28" i="39"/>
  <c r="Y28" i="39"/>
  <c r="AO27" i="39"/>
  <c r="Y27" i="39"/>
  <c r="AL26" i="39"/>
  <c r="AI26" i="39"/>
  <c r="AF26" i="39"/>
  <c r="AC26" i="39"/>
  <c r="AC30" i="38"/>
  <c r="AC28" i="38"/>
  <c r="AC27" i="38"/>
  <c r="AC29" i="38"/>
  <c r="AC32" i="38"/>
  <c r="AC33" i="38"/>
  <c r="AC34" i="38"/>
  <c r="AC38" i="38"/>
  <c r="AE38" i="38"/>
  <c r="Y38" i="38"/>
  <c r="Y36" i="38" s="1"/>
  <c r="Y35" i="38" s="1"/>
  <c r="Y34" i="38"/>
  <c r="Y33" i="38"/>
  <c r="Y32" i="38"/>
  <c r="Y31" i="38"/>
  <c r="Y30" i="38"/>
  <c r="Y29" i="38"/>
  <c r="Y26" i="38" s="1"/>
  <c r="Y25" i="38" s="1"/>
  <c r="Y24" i="38" s="1"/>
  <c r="Y28" i="38"/>
  <c r="Y27" i="38"/>
  <c r="G44" i="37"/>
  <c r="G42" i="37"/>
  <c r="G41" i="37"/>
  <c r="AE32" i="37"/>
  <c r="AE31" i="37"/>
  <c r="AE30" i="37"/>
  <c r="AC30" i="37"/>
  <c r="AE29" i="37"/>
  <c r="AE28" i="37"/>
  <c r="AG28" i="37" s="1"/>
  <c r="AC28" i="37"/>
  <c r="AE27" i="37"/>
  <c r="AC27" i="37"/>
  <c r="AE37" i="37"/>
  <c r="AC37" i="37"/>
  <c r="AF38" i="37"/>
  <c r="Y37" i="37"/>
  <c r="AD36" i="37"/>
  <c r="AG36" i="37" s="1"/>
  <c r="Y35" i="37"/>
  <c r="Y34" i="37" s="1"/>
  <c r="AC33" i="37"/>
  <c r="AG33" i="37" s="1"/>
  <c r="Y33" i="37"/>
  <c r="Y32" i="37"/>
  <c r="Y31" i="37"/>
  <c r="Y30" i="37"/>
  <c r="Y29" i="37"/>
  <c r="Y26" i="37" s="1"/>
  <c r="Y25" i="37" s="1"/>
  <c r="Y24" i="37" s="1"/>
  <c r="Y28" i="37"/>
  <c r="Y27" i="37"/>
  <c r="AJ28" i="34"/>
  <c r="AH28" i="34"/>
  <c r="AF28" i="34"/>
  <c r="AD28" i="34"/>
  <c r="AJ29" i="34"/>
  <c r="AH29" i="34"/>
  <c r="AF29" i="34"/>
  <c r="AD29" i="34"/>
  <c r="AJ27" i="34"/>
  <c r="AH27" i="34"/>
  <c r="AF27" i="34"/>
  <c r="AD27" i="34"/>
  <c r="AN38" i="75"/>
  <c r="AN35" i="75"/>
  <c r="AJ35" i="75"/>
  <c r="AF35" i="75"/>
  <c r="AD30" i="75"/>
  <c r="AF28" i="33"/>
  <c r="AF27" i="33"/>
  <c r="AE28" i="33"/>
  <c r="AE27" i="33"/>
  <c r="AC27" i="33"/>
  <c r="AC28" i="33"/>
  <c r="AD28" i="33"/>
  <c r="AD27" i="33"/>
  <c r="R28" i="33"/>
  <c r="R27" i="33"/>
  <c r="Y25" i="31"/>
  <c r="AF44" i="31"/>
  <c r="AE44" i="31"/>
  <c r="AD44" i="31"/>
  <c r="AC44" i="31"/>
  <c r="Y44" i="31"/>
  <c r="AG43" i="31"/>
  <c r="AG42" i="31"/>
  <c r="AG30" i="31" s="1"/>
  <c r="Y42" i="31"/>
  <c r="AH42" i="31" s="1"/>
  <c r="AG41" i="31"/>
  <c r="Y41" i="31"/>
  <c r="AG40" i="31"/>
  <c r="Y40" i="31"/>
  <c r="AG39" i="31"/>
  <c r="Y39" i="31"/>
  <c r="Y38" i="31"/>
  <c r="AG37" i="31"/>
  <c r="AH37" i="31" s="1"/>
  <c r="Y37" i="31"/>
  <c r="AG36" i="31"/>
  <c r="Y36" i="31"/>
  <c r="Y35" i="31"/>
  <c r="Y34" i="31"/>
  <c r="AG33" i="31"/>
  <c r="Y33" i="31"/>
  <c r="AG32" i="31"/>
  <c r="Y32" i="31"/>
  <c r="AH31" i="31"/>
  <c r="Y29" i="31"/>
  <c r="Y28" i="31"/>
  <c r="AF20" i="30"/>
  <c r="AC14" i="30"/>
  <c r="AC11" i="30"/>
  <c r="AF10" i="30"/>
  <c r="AD10" i="30"/>
  <c r="G40" i="30"/>
  <c r="G39" i="30"/>
  <c r="AE29" i="30"/>
  <c r="AG29" i="30" s="1"/>
  <c r="AE33" i="30"/>
  <c r="AD33" i="30"/>
  <c r="AC33" i="30"/>
  <c r="AC32" i="30"/>
  <c r="AG32" i="30" s="1"/>
  <c r="AD32" i="30"/>
  <c r="AE31" i="30"/>
  <c r="AD31" i="30"/>
  <c r="AC31" i="30"/>
  <c r="AG31" i="30"/>
  <c r="AE30" i="30"/>
  <c r="AG30" i="30" s="1"/>
  <c r="AG28" i="30"/>
  <c r="AD30" i="30"/>
  <c r="AC30" i="30"/>
  <c r="AD29" i="30"/>
  <c r="AC29" i="30"/>
  <c r="AE28" i="30"/>
  <c r="AD28" i="30"/>
  <c r="AF35" i="30"/>
  <c r="Y33" i="30"/>
  <c r="Y32" i="30"/>
  <c r="Y31" i="30"/>
  <c r="Y30" i="30"/>
  <c r="Y29" i="30"/>
  <c r="AD35" i="30"/>
  <c r="Y28" i="30"/>
  <c r="Y35" i="30" s="1"/>
  <c r="AC27" i="30"/>
  <c r="AG27" i="30" s="1"/>
  <c r="Y26" i="30"/>
  <c r="Y25" i="30" s="1"/>
  <c r="Y24" i="30" s="1"/>
  <c r="AG28" i="29"/>
  <c r="AF32" i="29"/>
  <c r="G38" i="29" s="1"/>
  <c r="G39" i="29" s="1"/>
  <c r="G37" i="29"/>
  <c r="G36" i="29"/>
  <c r="AF31" i="29"/>
  <c r="AE31" i="29"/>
  <c r="AE32" i="29" s="1"/>
  <c r="AD31" i="29"/>
  <c r="AD32" i="29" s="1"/>
  <c r="AC31" i="29"/>
  <c r="AC28" i="29"/>
  <c r="Y31" i="29"/>
  <c r="Y30" i="29" s="1"/>
  <c r="AG30" i="29"/>
  <c r="AG29" i="29"/>
  <c r="Y28" i="29"/>
  <c r="Y26" i="29" s="1"/>
  <c r="Y27" i="29"/>
  <c r="Y15" i="28"/>
  <c r="Y2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50" i="28"/>
  <c r="Y49" i="28"/>
  <c r="Y48" i="28"/>
  <c r="Y47" i="28"/>
  <c r="Y46" i="28"/>
  <c r="Y45" i="28"/>
  <c r="Y44" i="28"/>
  <c r="AB43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40" i="27"/>
  <c r="Y39" i="27" s="1"/>
  <c r="Y38" i="27" s="1"/>
  <c r="AE38" i="27"/>
  <c r="AE42" i="27" s="1"/>
  <c r="Y34" i="27"/>
  <c r="Y32" i="27"/>
  <c r="Y31" i="27"/>
  <c r="Y30" i="27"/>
  <c r="Y29" i="27"/>
  <c r="G40" i="5"/>
  <c r="G39" i="5"/>
  <c r="G38" i="5"/>
  <c r="G37" i="5"/>
  <c r="AE33" i="5"/>
  <c r="AE32" i="5"/>
  <c r="Y31" i="5"/>
  <c r="Y30" i="5"/>
  <c r="Y29" i="5"/>
  <c r="Y28" i="5" s="1"/>
  <c r="Y27" i="5"/>
  <c r="Y26" i="5" s="1"/>
  <c r="Y26" i="27" l="1"/>
  <c r="Y25" i="27" s="1"/>
  <c r="AH40" i="31"/>
  <c r="AH32" i="31"/>
  <c r="AE76" i="28"/>
  <c r="G78" i="28" s="1"/>
  <c r="AM31" i="28"/>
  <c r="AM28" i="28"/>
  <c r="AM73" i="28"/>
  <c r="AM72" i="28"/>
  <c r="AM71" i="28"/>
  <c r="AM70" i="28"/>
  <c r="AM69" i="28"/>
  <c r="AM65" i="28"/>
  <c r="AD76" i="28"/>
  <c r="AM64" i="28"/>
  <c r="AM49" i="28"/>
  <c r="AH76" i="28"/>
  <c r="AM45" i="28"/>
  <c r="AM44" i="28"/>
  <c r="AJ76" i="28"/>
  <c r="AI76" i="28"/>
  <c r="AM40" i="28"/>
  <c r="AM39" i="28"/>
  <c r="AL76" i="28"/>
  <c r="AF76" i="28"/>
  <c r="AM37" i="28"/>
  <c r="AK76" i="28"/>
  <c r="AG76" i="28"/>
  <c r="AM36" i="28"/>
  <c r="AM35" i="28"/>
  <c r="AM33" i="28"/>
  <c r="AM32" i="28"/>
  <c r="AM29" i="28"/>
  <c r="AM30" i="28"/>
  <c r="AM34" i="28"/>
  <c r="AM50" i="28"/>
  <c r="AM66" i="28"/>
  <c r="AM74" i="28"/>
  <c r="AM43" i="28"/>
  <c r="AM47" i="28"/>
  <c r="AM38" i="28"/>
  <c r="AM46" i="28"/>
  <c r="AM67" i="28"/>
  <c r="AM27" i="28"/>
  <c r="AO40" i="39"/>
  <c r="AO32" i="39"/>
  <c r="AL43" i="39"/>
  <c r="AO26" i="39"/>
  <c r="AC43" i="39"/>
  <c r="Y26" i="39"/>
  <c r="AF43" i="39"/>
  <c r="AI43" i="39"/>
  <c r="AI34" i="38"/>
  <c r="Y39" i="38"/>
  <c r="AG32" i="37"/>
  <c r="AE38" i="37"/>
  <c r="AG37" i="37"/>
  <c r="Y38" i="37"/>
  <c r="AD38" i="37"/>
  <c r="AG27" i="37"/>
  <c r="AH44" i="31"/>
  <c r="AG44" i="31"/>
  <c r="Y26" i="31"/>
  <c r="AG34" i="31"/>
  <c r="AH34" i="31" s="1"/>
  <c r="AG35" i="31"/>
  <c r="AH35" i="31" s="1"/>
  <c r="AH36" i="31"/>
  <c r="AH33" i="31"/>
  <c r="AD30" i="31"/>
  <c r="AD45" i="31" s="1"/>
  <c r="AG38" i="31"/>
  <c r="AH38" i="31" s="1"/>
  <c r="AF30" i="31"/>
  <c r="AE24" i="31" s="1"/>
  <c r="AH41" i="31"/>
  <c r="AE45" i="31"/>
  <c r="G51" i="31" s="1"/>
  <c r="AH39" i="31"/>
  <c r="Y43" i="31"/>
  <c r="AH43" i="31" s="1"/>
  <c r="AG33" i="30"/>
  <c r="AC35" i="30"/>
  <c r="AE35" i="30"/>
  <c r="AG31" i="29"/>
  <c r="AC32" i="29"/>
  <c r="AG27" i="29"/>
  <c r="Y25" i="29"/>
  <c r="Y37" i="27"/>
  <c r="Y25" i="5"/>
  <c r="Y24" i="5" s="1"/>
  <c r="Y33" i="5" s="1"/>
  <c r="Y42" i="27" l="1"/>
  <c r="Y15" i="27" s="1"/>
  <c r="Y24" i="27"/>
  <c r="G45" i="27"/>
  <c r="AE26" i="27"/>
  <c r="G48" i="27"/>
  <c r="G47" i="27"/>
  <c r="G46" i="27"/>
  <c r="AM76" i="28"/>
  <c r="AO25" i="39"/>
  <c r="AO43" i="39"/>
  <c r="Y24" i="39"/>
  <c r="Y43" i="39"/>
  <c r="AG26" i="37"/>
  <c r="AG38" i="37"/>
  <c r="AF45" i="31"/>
  <c r="AH30" i="31"/>
  <c r="AH45" i="31" s="1"/>
  <c r="Y24" i="31"/>
  <c r="AG35" i="30"/>
  <c r="AG32" i="29"/>
  <c r="Y32" i="29"/>
  <c r="Y24" i="29"/>
  <c r="Y45" i="31" l="1"/>
  <c r="Y15" i="31"/>
  <c r="AG35" i="33"/>
  <c r="AG34" i="33"/>
  <c r="AG33" i="33"/>
  <c r="AD32" i="33"/>
  <c r="AD33" i="29"/>
  <c r="AD31" i="33" l="1"/>
  <c r="K53" i="19" l="1"/>
  <c r="K52" i="19" s="1"/>
  <c r="K25" i="19" l="1"/>
  <c r="K77" i="19" l="1"/>
  <c r="K74" i="19"/>
  <c r="K73" i="19" s="1"/>
  <c r="K71" i="19"/>
  <c r="K70" i="19" s="1"/>
  <c r="K45" i="19"/>
  <c r="Y38" i="75" l="1"/>
  <c r="I91" i="19" l="1"/>
  <c r="I90" i="19"/>
  <c r="AD36" i="29" l="1"/>
  <c r="AD35" i="29"/>
  <c r="G49" i="39" l="1"/>
  <c r="AL28" i="34"/>
  <c r="AL29" i="34"/>
  <c r="AJ33" i="34"/>
  <c r="G39" i="34" s="1"/>
  <c r="Y30" i="40"/>
  <c r="U50" i="27"/>
  <c r="U82" i="28" s="1"/>
  <c r="U40" i="29" s="1"/>
  <c r="U43" i="30" s="1"/>
  <c r="U54" i="31" s="1"/>
  <c r="U36" i="32" s="1"/>
  <c r="U36" i="33" s="1"/>
  <c r="U48" i="75" s="1"/>
  <c r="U41" i="34" s="1"/>
  <c r="U42" i="74" s="1"/>
  <c r="U38" i="36" s="1"/>
  <c r="U45" i="37" s="1"/>
  <c r="U46" i="38" s="1"/>
  <c r="U50" i="39" s="1"/>
  <c r="U39" i="40" s="1"/>
  <c r="U51" i="27"/>
  <c r="U83" i="28" s="1"/>
  <c r="U41" i="29" s="1"/>
  <c r="U44" i="30" s="1"/>
  <c r="U55" i="31" s="1"/>
  <c r="U37" i="32" s="1"/>
  <c r="U37" i="33" s="1"/>
  <c r="U49" i="75" s="1"/>
  <c r="U42" i="34" s="1"/>
  <c r="U43" i="74" s="1"/>
  <c r="U39" i="36" s="1"/>
  <c r="U46" i="37" s="1"/>
  <c r="U47" i="38" s="1"/>
  <c r="U51" i="39" s="1"/>
  <c r="U40" i="40" s="1"/>
  <c r="U34" i="36"/>
  <c r="U49" i="27"/>
  <c r="U81" i="28" s="1"/>
  <c r="U39" i="29" s="1"/>
  <c r="U42" i="30" s="1"/>
  <c r="U53" i="31" s="1"/>
  <c r="U35" i="32" s="1"/>
  <c r="U35" i="33" s="1"/>
  <c r="U47" i="75" s="1"/>
  <c r="U40" i="34" s="1"/>
  <c r="U41" i="74" s="1"/>
  <c r="U37" i="36" s="1"/>
  <c r="U44" i="37" s="1"/>
  <c r="U45" i="38" s="1"/>
  <c r="U49" i="39" s="1"/>
  <c r="U38" i="40" s="1"/>
  <c r="U45" i="27"/>
  <c r="U77" i="28" s="1"/>
  <c r="U35" i="29" s="1"/>
  <c r="U38" i="30" s="1"/>
  <c r="U49" i="31" s="1"/>
  <c r="U31" i="32" s="1"/>
  <c r="U31" i="33" s="1"/>
  <c r="U43" i="75" s="1"/>
  <c r="U36" i="34" s="1"/>
  <c r="U37" i="74" s="1"/>
  <c r="U33" i="36" s="1"/>
  <c r="U40" i="37" s="1"/>
  <c r="U41" i="38" s="1"/>
  <c r="U45" i="39" s="1"/>
  <c r="U34" i="40" s="1"/>
  <c r="AL27" i="34" l="1"/>
  <c r="Y28" i="34"/>
  <c r="AN30" i="75" l="1"/>
  <c r="AH40" i="75"/>
  <c r="G45" i="75" s="1"/>
  <c r="I23" i="19" s="1"/>
  <c r="AJ40" i="75"/>
  <c r="G46" i="75" s="1"/>
  <c r="J23" i="19" s="1"/>
  <c r="AF40" i="75"/>
  <c r="G44" i="75" s="1"/>
  <c r="H23" i="19" s="1"/>
  <c r="AD35" i="75"/>
  <c r="G34" i="33"/>
  <c r="G33" i="33"/>
  <c r="G32" i="33"/>
  <c r="AF29" i="33"/>
  <c r="G35" i="33" s="1"/>
  <c r="AD29" i="33"/>
  <c r="AE29" i="33"/>
  <c r="AC29" i="33"/>
  <c r="N16" i="19"/>
  <c r="N19" i="19"/>
  <c r="N20" i="19"/>
  <c r="N21" i="19"/>
  <c r="N22" i="19"/>
  <c r="N23" i="19"/>
  <c r="N26" i="19"/>
  <c r="N27" i="19"/>
  <c r="N30" i="19"/>
  <c r="N31" i="19"/>
  <c r="N32" i="19"/>
  <c r="N15" i="19"/>
  <c r="L25" i="19"/>
  <c r="AD40" i="75" l="1"/>
  <c r="G43" i="75" s="1"/>
  <c r="G36" i="33"/>
  <c r="M25" i="19"/>
  <c r="N25" i="19" s="1"/>
  <c r="L36" i="19"/>
  <c r="L40" i="19" s="1"/>
  <c r="Y35" i="75"/>
  <c r="Y31" i="75" s="1"/>
  <c r="Y26" i="75" s="1"/>
  <c r="AL40" i="75"/>
  <c r="AD39" i="75"/>
  <c r="AN39" i="75" s="1"/>
  <c r="AP30" i="75"/>
  <c r="Y30" i="75"/>
  <c r="V2" i="75"/>
  <c r="U2" i="75"/>
  <c r="AD34" i="74"/>
  <c r="AD33" i="74"/>
  <c r="AN33" i="74" s="1"/>
  <c r="AP30" i="74"/>
  <c r="AL30" i="74"/>
  <c r="AH30" i="74"/>
  <c r="AF30" i="74"/>
  <c r="AN30" i="74" s="1"/>
  <c r="Y30" i="74"/>
  <c r="AP28" i="74"/>
  <c r="AL28" i="74"/>
  <c r="AL34" i="74" s="1"/>
  <c r="AH28" i="74"/>
  <c r="AF28" i="74"/>
  <c r="Y28" i="74"/>
  <c r="V2" i="74"/>
  <c r="U2" i="74"/>
  <c r="G23" i="19" l="1"/>
  <c r="K23" i="19" s="1"/>
  <c r="G47" i="75"/>
  <c r="Y34" i="74"/>
  <c r="G37" i="74" s="1"/>
  <c r="AN40" i="75"/>
  <c r="AP40" i="75"/>
  <c r="Y25" i="75"/>
  <c r="Y24" i="75" s="1"/>
  <c r="Y15" i="75" s="1"/>
  <c r="AP34" i="74"/>
  <c r="AH34" i="74"/>
  <c r="AH35" i="74" s="1"/>
  <c r="Y26" i="74"/>
  <c r="Y25" i="74" s="1"/>
  <c r="Y24" i="74" s="1"/>
  <c r="Y15" i="74" s="1"/>
  <c r="AN28" i="74"/>
  <c r="AN34" i="74" s="1"/>
  <c r="AF34" i="74"/>
  <c r="G39" i="74" l="1"/>
  <c r="G40" i="74"/>
  <c r="G38" i="74"/>
  <c r="G41" i="74"/>
  <c r="U2" i="40" l="1"/>
  <c r="V2" i="40"/>
  <c r="Y28" i="40"/>
  <c r="AE28" i="40" s="1"/>
  <c r="AE29" i="40"/>
  <c r="G39" i="40"/>
  <c r="U2" i="39"/>
  <c r="V2" i="39"/>
  <c r="U2" i="38"/>
  <c r="V2" i="38"/>
  <c r="AC40" i="38"/>
  <c r="G41" i="38" s="1"/>
  <c r="AF40" i="38"/>
  <c r="G44" i="38" s="1"/>
  <c r="U2" i="37"/>
  <c r="V2" i="37"/>
  <c r="G43" i="37"/>
  <c r="J30" i="19" s="1"/>
  <c r="U2" i="36"/>
  <c r="V2" i="36"/>
  <c r="Y27" i="36"/>
  <c r="Y28" i="36"/>
  <c r="Y29" i="36"/>
  <c r="U2" i="34"/>
  <c r="V2" i="34"/>
  <c r="Y27" i="34"/>
  <c r="AL33" i="34"/>
  <c r="J24" i="19" s="1"/>
  <c r="AP27" i="34"/>
  <c r="Y29" i="34"/>
  <c r="AP29" i="34"/>
  <c r="AP33" i="34" s="1"/>
  <c r="AD32" i="34"/>
  <c r="AF33" i="34"/>
  <c r="U2" i="33"/>
  <c r="V2" i="33"/>
  <c r="Y27" i="33"/>
  <c r="Y28" i="33"/>
  <c r="U2" i="32"/>
  <c r="V2" i="32"/>
  <c r="Y27" i="32"/>
  <c r="Y29" i="32" s="1"/>
  <c r="Y28" i="32"/>
  <c r="U2" i="30"/>
  <c r="V2" i="30"/>
  <c r="H19" i="19"/>
  <c r="G41" i="30"/>
  <c r="J19" i="19" s="1"/>
  <c r="U2" i="29"/>
  <c r="V2" i="29"/>
  <c r="AC15" i="29"/>
  <c r="I18" i="19"/>
  <c r="AC36" i="29"/>
  <c r="AC37" i="29" s="1"/>
  <c r="AB45" i="28"/>
  <c r="AB46" i="28" s="1"/>
  <c r="U2" i="27"/>
  <c r="V2" i="27"/>
  <c r="S52" i="27"/>
  <c r="W86" i="28" s="1"/>
  <c r="W44" i="29" s="1"/>
  <c r="W47" i="30" s="1"/>
  <c r="W58" i="31" s="1"/>
  <c r="W40" i="32" s="1"/>
  <c r="W40" i="33" s="1"/>
  <c r="C46" i="29"/>
  <c r="C49" i="30" s="1"/>
  <c r="C59" i="27"/>
  <c r="C91" i="28" s="1"/>
  <c r="C49" i="29" s="1"/>
  <c r="C52" i="30" s="1"/>
  <c r="C63" i="31" s="1"/>
  <c r="C45" i="32" s="1"/>
  <c r="C45" i="33" s="1"/>
  <c r="W59" i="27"/>
  <c r="W92" i="28" s="1"/>
  <c r="W50" i="29" s="1"/>
  <c r="W53" i="30" s="1"/>
  <c r="W64" i="31" s="1"/>
  <c r="W46" i="32" s="1"/>
  <c r="W46" i="33" s="1"/>
  <c r="U2" i="5"/>
  <c r="V2" i="5"/>
  <c r="W52" i="5"/>
  <c r="W60" i="27" s="1"/>
  <c r="W93" i="28" s="1"/>
  <c r="W51" i="29" s="1"/>
  <c r="W54" i="30" s="1"/>
  <c r="W65" i="31" s="1"/>
  <c r="W47" i="32" s="1"/>
  <c r="W47" i="33" s="1"/>
  <c r="W53" i="5"/>
  <c r="W61" i="27" s="1"/>
  <c r="W94" i="28" s="1"/>
  <c r="W52" i="29" s="1"/>
  <c r="W55" i="30" s="1"/>
  <c r="W66" i="31" s="1"/>
  <c r="W48" i="32" s="1"/>
  <c r="W48" i="33" s="1"/>
  <c r="I19" i="19"/>
  <c r="G22" i="19"/>
  <c r="H22" i="19"/>
  <c r="I22" i="19"/>
  <c r="J22" i="19"/>
  <c r="G30" i="19"/>
  <c r="G32" i="19"/>
  <c r="H32" i="19"/>
  <c r="I32" i="19"/>
  <c r="J32" i="19"/>
  <c r="G33" i="19"/>
  <c r="H33" i="19"/>
  <c r="I33" i="19"/>
  <c r="K37" i="19"/>
  <c r="K36" i="19" s="1"/>
  <c r="K44" i="19"/>
  <c r="K43" i="19" s="1"/>
  <c r="K59" i="19"/>
  <c r="K58" i="19" s="1"/>
  <c r="K68" i="19"/>
  <c r="K67" i="19" s="1"/>
  <c r="K78" i="19"/>
  <c r="K76" i="19" s="1"/>
  <c r="K81" i="19"/>
  <c r="K80" i="19" s="1"/>
  <c r="C95" i="19"/>
  <c r="V12" i="73"/>
  <c r="V19" i="73"/>
  <c r="V26" i="73"/>
  <c r="V32" i="73"/>
  <c r="V38" i="73"/>
  <c r="V39" i="73"/>
  <c r="V16" i="73" s="1"/>
  <c r="V41" i="73"/>
  <c r="V42" i="73"/>
  <c r="V15" i="73" l="1"/>
  <c r="V24" i="73" s="1"/>
  <c r="K33" i="19"/>
  <c r="C42" i="32"/>
  <c r="C42" i="33" s="1"/>
  <c r="C47" i="34" s="1"/>
  <c r="C60" i="31"/>
  <c r="H24" i="19"/>
  <c r="G37" i="34"/>
  <c r="J20" i="19"/>
  <c r="AI49" i="31"/>
  <c r="Y25" i="28"/>
  <c r="Y24" i="28" s="1"/>
  <c r="AC76" i="28"/>
  <c r="G17" i="19" s="1"/>
  <c r="K22" i="19"/>
  <c r="K32" i="19"/>
  <c r="G20" i="19"/>
  <c r="H20" i="19"/>
  <c r="I20" i="19"/>
  <c r="M17" i="19"/>
  <c r="Y32" i="40"/>
  <c r="M33" i="19" s="1"/>
  <c r="N33" i="19" s="1"/>
  <c r="J18" i="19"/>
  <c r="W45" i="34"/>
  <c r="W46" i="74"/>
  <c r="W42" i="36" s="1"/>
  <c r="W53" i="75"/>
  <c r="W51" i="34"/>
  <c r="W52" i="74"/>
  <c r="W48" i="36" s="1"/>
  <c r="W59" i="75"/>
  <c r="C50" i="34"/>
  <c r="C51" i="74"/>
  <c r="C47" i="36" s="1"/>
  <c r="C58" i="75"/>
  <c r="W53" i="34"/>
  <c r="W61" i="75"/>
  <c r="W54" i="74"/>
  <c r="W50" i="36" s="1"/>
  <c r="W52" i="34"/>
  <c r="W60" i="75"/>
  <c r="W53" i="74"/>
  <c r="W49" i="36" s="1"/>
  <c r="J17" i="19"/>
  <c r="AD29" i="32"/>
  <c r="G34" i="32" s="1"/>
  <c r="I21" i="19" s="1"/>
  <c r="J31" i="19"/>
  <c r="G38" i="30"/>
  <c r="G19" i="19" s="1"/>
  <c r="K19" i="19" s="1"/>
  <c r="Y26" i="32"/>
  <c r="Y25" i="32" s="1"/>
  <c r="Y24" i="32" s="1"/>
  <c r="Y15" i="32" s="1"/>
  <c r="Y26" i="36"/>
  <c r="Y25" i="36" s="1"/>
  <c r="Y24" i="36" s="1"/>
  <c r="Y15" i="36" s="1"/>
  <c r="AH33" i="34"/>
  <c r="Y15" i="38"/>
  <c r="Y26" i="40"/>
  <c r="Y25" i="40" s="1"/>
  <c r="Y24" i="40" s="1"/>
  <c r="Y15" i="40" s="1"/>
  <c r="Y26" i="33"/>
  <c r="Y25" i="33" s="1"/>
  <c r="Y24" i="33" s="1"/>
  <c r="Y15" i="33" s="1"/>
  <c r="H18" i="19"/>
  <c r="G31" i="19"/>
  <c r="Y29" i="33"/>
  <c r="AD33" i="34"/>
  <c r="G36" i="34" s="1"/>
  <c r="Y26" i="34"/>
  <c r="Y25" i="34" s="1"/>
  <c r="Y24" i="34" s="1"/>
  <c r="Y33" i="34"/>
  <c r="AD40" i="38"/>
  <c r="G42" i="38" s="1"/>
  <c r="G33" i="32"/>
  <c r="H21" i="19" s="1"/>
  <c r="G32" i="32"/>
  <c r="G35" i="32"/>
  <c r="J21" i="19" s="1"/>
  <c r="AE40" i="38"/>
  <c r="G43" i="38" s="1"/>
  <c r="Y15" i="5"/>
  <c r="Y15" i="30"/>
  <c r="Y31" i="36"/>
  <c r="C55" i="75" l="1"/>
  <c r="C48" i="74"/>
  <c r="C44" i="36" s="1"/>
  <c r="C51" i="37" s="1"/>
  <c r="C52" i="38" s="1"/>
  <c r="C55" i="39" s="1"/>
  <c r="C45" i="40" s="1"/>
  <c r="I24" i="19"/>
  <c r="G38" i="34"/>
  <c r="H17" i="19"/>
  <c r="C54" i="37"/>
  <c r="C55" i="38" s="1"/>
  <c r="C58" i="39" s="1"/>
  <c r="C48" i="40" s="1"/>
  <c r="K20" i="19"/>
  <c r="N17" i="19"/>
  <c r="W49" i="37"/>
  <c r="W50" i="38" s="1"/>
  <c r="W54" i="39" s="1"/>
  <c r="W43" i="40" s="1"/>
  <c r="W55" i="37"/>
  <c r="W56" i="38" s="1"/>
  <c r="W59" i="39" s="1"/>
  <c r="W49" i="40" s="1"/>
  <c r="W57" i="37"/>
  <c r="W58" i="38" s="1"/>
  <c r="W61" i="39" s="1"/>
  <c r="W51" i="40" s="1"/>
  <c r="W56" i="37"/>
  <c r="W57" i="38" s="1"/>
  <c r="W60" i="39" s="1"/>
  <c r="W50" i="40" s="1"/>
  <c r="Y15" i="34"/>
  <c r="M24" i="19"/>
  <c r="G42" i="30"/>
  <c r="AE31" i="36"/>
  <c r="G37" i="36"/>
  <c r="G35" i="36"/>
  <c r="G36" i="36"/>
  <c r="G34" i="36"/>
  <c r="G35" i="29"/>
  <c r="H31" i="19"/>
  <c r="G40" i="34"/>
  <c r="G24" i="19"/>
  <c r="I15" i="19"/>
  <c r="H15" i="19"/>
  <c r="J15" i="19"/>
  <c r="I31" i="19"/>
  <c r="G36" i="32"/>
  <c r="G21" i="19"/>
  <c r="K21" i="19" s="1"/>
  <c r="G45" i="38"/>
  <c r="G82" i="28" l="1"/>
  <c r="I17" i="19"/>
  <c r="K17" i="19" s="1"/>
  <c r="K31" i="19"/>
  <c r="K24" i="19"/>
  <c r="N24" i="19"/>
  <c r="G53" i="31"/>
  <c r="G38" i="36"/>
  <c r="Y15" i="29"/>
  <c r="G41" i="5"/>
  <c r="G15" i="19"/>
  <c r="G18" i="19"/>
  <c r="K18" i="19" s="1"/>
  <c r="I30" i="19"/>
  <c r="Y15" i="37"/>
  <c r="H30" i="19"/>
  <c r="K30" i="19" l="1"/>
  <c r="K27" i="19" s="1"/>
  <c r="K15" i="19"/>
  <c r="M18" i="19"/>
  <c r="Y15" i="39"/>
  <c r="M36" i="19" l="1"/>
  <c r="N18" i="19"/>
  <c r="N36" i="19" l="1"/>
  <c r="M40" i="19"/>
  <c r="N40" i="19" s="1"/>
  <c r="J16" i="19"/>
  <c r="J83" i="19" s="1"/>
  <c r="S40" i="73" s="1"/>
  <c r="I16" i="19"/>
  <c r="I83" i="19" s="1"/>
  <c r="P40" i="73" s="1"/>
  <c r="H16" i="19"/>
  <c r="H83" i="19" s="1"/>
  <c r="M40" i="73" s="1"/>
  <c r="G16" i="19"/>
  <c r="K16" i="19" l="1"/>
  <c r="G83" i="19"/>
  <c r="J40" i="73" s="1"/>
  <c r="G49" i="27"/>
  <c r="K14" i="19" l="1"/>
  <c r="L14" i="19" s="1"/>
  <c r="K83" i="19"/>
  <c r="V40" i="73"/>
  <c r="L83" i="19" l="1"/>
  <c r="AC40" i="73"/>
  <c r="Z40" i="73"/>
  <c r="AC39" i="73"/>
</calcChain>
</file>

<file path=xl/sharedStrings.xml><?xml version="1.0" encoding="utf-8"?>
<sst xmlns="http://schemas.openxmlformats.org/spreadsheetml/2006/main" count="2640" uniqueCount="483">
  <si>
    <t>Rincian Dokumen Pelaksanaan Anggaran Belanja Langsung</t>
  </si>
  <si>
    <t>Program dan Per Kegiatan Satuan Kerja Perangkat Daerah</t>
  </si>
  <si>
    <t>Kode Rekening</t>
  </si>
  <si>
    <t>Uraian</t>
  </si>
  <si>
    <t>Rincian Penghitungan</t>
  </si>
  <si>
    <t>Volume</t>
  </si>
  <si>
    <t>Satuan</t>
  </si>
  <si>
    <t>Harga Satuan</t>
  </si>
  <si>
    <t>Indikator &amp; Tolok Ukur Kinerja Belanja Langsung</t>
  </si>
  <si>
    <t>Indikator</t>
  </si>
  <si>
    <t>Tolok Ukur Kinerja</t>
  </si>
  <si>
    <t>Target Kinerja</t>
  </si>
  <si>
    <t xml:space="preserve">Kelompok Sasaran Kegiatan : </t>
  </si>
  <si>
    <t>Jumlah                        (Rp)</t>
  </si>
  <si>
    <t>Capaian Program</t>
  </si>
  <si>
    <t>Masukan</t>
  </si>
  <si>
    <t>Keluaran</t>
  </si>
  <si>
    <t>Hasil</t>
  </si>
  <si>
    <t>Urusan Pemerintahan</t>
  </si>
  <si>
    <t>Organisasi</t>
  </si>
  <si>
    <t>Program</t>
  </si>
  <si>
    <t>Kegiatan</t>
  </si>
  <si>
    <t>Waktu Pelaksanaan</t>
  </si>
  <si>
    <t>Lokasi Kegiatan</t>
  </si>
  <si>
    <t>Sumber Dana</t>
  </si>
  <si>
    <t>Kabupaten Wonosobo</t>
  </si>
  <si>
    <t>NOMOR DPA SKPD</t>
  </si>
  <si>
    <t>6=3x5</t>
  </si>
  <si>
    <t>Jumlah</t>
  </si>
  <si>
    <t>Triwulan I</t>
  </si>
  <si>
    <t>Triwulan II</t>
  </si>
  <si>
    <t>Triwulan III</t>
  </si>
  <si>
    <t>Triwulan IV</t>
  </si>
  <si>
    <t>Mengesahkan,</t>
  </si>
  <si>
    <t>1.</t>
  </si>
  <si>
    <t>2.</t>
  </si>
  <si>
    <t>3.</t>
  </si>
  <si>
    <t>Belanja Jasa Kantor</t>
  </si>
  <si>
    <t>Belanja Surat Kabar / Majalah</t>
  </si>
  <si>
    <t>Belanja Bahan Pakai Habis</t>
  </si>
  <si>
    <t>5</t>
  </si>
  <si>
    <t>2</t>
  </si>
  <si>
    <t>03</t>
  </si>
  <si>
    <t>05</t>
  </si>
  <si>
    <t>01</t>
  </si>
  <si>
    <t>- Sulak</t>
  </si>
  <si>
    <t>bh</t>
  </si>
  <si>
    <t>06</t>
  </si>
  <si>
    <t>Belanja Bahan Bakar Minyak/Gas</t>
  </si>
  <si>
    <t>Belanja telepon</t>
  </si>
  <si>
    <t>02</t>
  </si>
  <si>
    <t>Belanja air</t>
  </si>
  <si>
    <t>Belanja listrik</t>
  </si>
  <si>
    <t>1</t>
  </si>
  <si>
    <t>Honorarium PNS</t>
  </si>
  <si>
    <t>- Pengguna Anggaran</t>
  </si>
  <si>
    <t>- Bendahara Pengeluaran</t>
  </si>
  <si>
    <t>- Gunting Besar</t>
  </si>
  <si>
    <t>dos</t>
  </si>
  <si>
    <t>rim</t>
  </si>
  <si>
    <t>Belanja Cetak dan Penggandaan</t>
  </si>
  <si>
    <t>Belanja Cetak</t>
  </si>
  <si>
    <t>Belanja Penggandaan/foto copy</t>
  </si>
  <si>
    <t>- Foto Copy folio</t>
  </si>
  <si>
    <t>11</t>
  </si>
  <si>
    <t>Belanja Makanan dan Minuman</t>
  </si>
  <si>
    <t>Belanja makanan dan minuman rapat</t>
  </si>
  <si>
    <t>15</t>
  </si>
  <si>
    <t>Belanja Perjalanan Dinas</t>
  </si>
  <si>
    <t>Belanja perjalanan dinas dalam daerah</t>
  </si>
  <si>
    <t>27</t>
  </si>
  <si>
    <t>Belanja Jasa Pelayanan Umum</t>
  </si>
  <si>
    <t>Belanja Bahan/Material</t>
  </si>
  <si>
    <t>Belanja Bahan Baku Bangunan</t>
  </si>
  <si>
    <t>20</t>
  </si>
  <si>
    <t>Belanja Jasa Servis</t>
  </si>
  <si>
    <t>Belanja Penggantian Suku Cadang</t>
  </si>
  <si>
    <t>Belanja Surat Tanda Nomor Kendaraan</t>
  </si>
  <si>
    <t>21</t>
  </si>
  <si>
    <t>07</t>
  </si>
  <si>
    <t>1.20</t>
  </si>
  <si>
    <t>10</t>
  </si>
  <si>
    <t>BELANJA DAERAH</t>
  </si>
  <si>
    <t>BELANJA TIDAK LANGSUNG</t>
  </si>
  <si>
    <t>BELANJA PEGAWAI</t>
  </si>
  <si>
    <t>Pejabat Pengelola Keuangan Daerah</t>
  </si>
  <si>
    <t>BELANJA BARANG DAN JASA</t>
  </si>
  <si>
    <t>SATUAN KERJA PERANGKAT DAERAH</t>
  </si>
  <si>
    <t>URUSAN PEMERINTAHAN</t>
  </si>
  <si>
    <t>:</t>
  </si>
  <si>
    <t>ORGANISASI</t>
  </si>
  <si>
    <t>Target Kinerja (Kuantitatif)</t>
  </si>
  <si>
    <t>Penyediaan Alat Tulis Kantor</t>
  </si>
  <si>
    <t>12</t>
  </si>
  <si>
    <t>13</t>
  </si>
  <si>
    <t>17</t>
  </si>
  <si>
    <t>19</t>
  </si>
  <si>
    <t>26</t>
  </si>
  <si>
    <t>22</t>
  </si>
  <si>
    <t>24</t>
  </si>
  <si>
    <t>30</t>
  </si>
  <si>
    <t>Program Pelayanan Administrasi Perkantoran</t>
  </si>
  <si>
    <t>Penyediaan Jasa Administrasi Keuangan</t>
  </si>
  <si>
    <t>Penyediaan Barang Cetakan dan Penggandaan</t>
  </si>
  <si>
    <t>Penyediaan Peralatan dan Perlengkapan Kantor</t>
  </si>
  <si>
    <t>Penyediaan Makanan dan Minuman</t>
  </si>
  <si>
    <t>Rapat-rapat Koordinasi dan Konsultasi Dalam Daerah</t>
  </si>
  <si>
    <t>Penyediaan Jasa Pelayanan Umum Pemerintahan</t>
  </si>
  <si>
    <t>Pemeliharaan Rutin/Berkala Alat-alat Kantor</t>
  </si>
  <si>
    <t>4</t>
  </si>
  <si>
    <t>PENDAPATAN</t>
  </si>
  <si>
    <t>3</t>
  </si>
  <si>
    <t>6</t>
  </si>
  <si>
    <t>PEMBIAYAAN DAERAH</t>
  </si>
  <si>
    <t>PENERIMAAN PEMBIAYAAN DAERAH</t>
  </si>
  <si>
    <t>PENGELUARAN PEMBIAYAAN DAERAH</t>
  </si>
  <si>
    <t>Belanja Tidak Langsung</t>
  </si>
  <si>
    <t>Belanja Langsung</t>
  </si>
  <si>
    <t>m</t>
  </si>
  <si>
    <t>kg</t>
  </si>
  <si>
    <t>- Rol Cat</t>
  </si>
  <si>
    <t>Penyediaan jasa komunikasi,sumber daya air dan listrik</t>
  </si>
  <si>
    <t>Jumlah dana</t>
  </si>
  <si>
    <t>Terpenuhinya kebutuhan jasa komunikasi,sumber daya air dan listrik</t>
  </si>
  <si>
    <t>1 tahun</t>
  </si>
  <si>
    <t>Penyediaan Honorarium Penatausahaan Keuangan</t>
  </si>
  <si>
    <t>Tercukupinya honorarium pengelola penatausahaan keuangan</t>
  </si>
  <si>
    <t>Jumlah Dana</t>
  </si>
  <si>
    <t>Alat Tulis Kantor</t>
  </si>
  <si>
    <t>Tersedianya keperluan alat tulis kantor</t>
  </si>
  <si>
    <t>Penyediaan barang cetakan dan penggandaan</t>
  </si>
  <si>
    <t>Tercukupinya kebutuhan barang cetakan dan penggandaan</t>
  </si>
  <si>
    <t>Barang cetakan dan penggandaan</t>
  </si>
  <si>
    <t>Penyediaan Komponen Instalasi listrik/Penerangan</t>
  </si>
  <si>
    <t>Komponen Instalasi Listrik/Penerangan</t>
  </si>
  <si>
    <t>Terpenuhinya kebutuhan komponen instalasi listrik/penerangan</t>
  </si>
  <si>
    <t>Penyediaaan Peralatan dan Perlengkapan Kantor</t>
  </si>
  <si>
    <t>Tercukupinya kebutuhan peralatan dan perlengkapan kantor</t>
  </si>
  <si>
    <t>Penyediaan bahan bacaan</t>
  </si>
  <si>
    <t>Terpenuhinya kebutuhan belanja surat kabar</t>
  </si>
  <si>
    <t>Penyediaan makanan dan minuman rapat</t>
  </si>
  <si>
    <t>Terpenuhinya kebutuhan makanan dan minuman rapat</t>
  </si>
  <si>
    <t>Rakor dan konsultasi dalam daerah</t>
  </si>
  <si>
    <t>Terlaksananya perjalanan dinas dalam daerah</t>
  </si>
  <si>
    <t>Penyediaan jasa pelayanan umum pemerintahan</t>
  </si>
  <si>
    <t>Terpenuhinya kebutuhan belanja jasa pelayanan umum pemerintahan</t>
  </si>
  <si>
    <t>Pemeliharaan Rutin / Berkala Rumah Dinas</t>
  </si>
  <si>
    <t>Terpenuhinya kebutuhan belanja pemeliharaan rumah dinas</t>
  </si>
  <si>
    <t>Pemeliharaan Rutin / Berkala gedung kantor</t>
  </si>
  <si>
    <t>Terpenuhinya kebutuhan belanja pemeliharaan gedung kantor</t>
  </si>
  <si>
    <t>Pemeliharaan Rutin / Berkala kendaraan dinas</t>
  </si>
  <si>
    <t>Terpenuhinya kebutuhan belanja pemeliharaan kendaraan dinas</t>
  </si>
  <si>
    <t>Pemeliharaan Rutin / Berkala alat-alat kantor</t>
  </si>
  <si>
    <t>Terpenuhinya kebutuhan belanja pemeliharaan alat-alat kantor</t>
  </si>
  <si>
    <t>Meningkatnya kesejahteraan pegawai</t>
  </si>
  <si>
    <t>KABUPATEN WONOSOBO</t>
  </si>
  <si>
    <t>PENGGUNA ANGGARAN</t>
  </si>
  <si>
    <t>a. Nama</t>
  </si>
  <si>
    <t>b. NIP</t>
  </si>
  <si>
    <t>c. Jabatan</t>
  </si>
  <si>
    <t>KODE</t>
  </si>
  <si>
    <t>Nama Formulir</t>
  </si>
  <si>
    <t>- Suku cadang kendaraan dinas roda 4</t>
  </si>
  <si>
    <t>- Servis Kendaraan dinas roda 4</t>
  </si>
  <si>
    <t>KECAMATAN SUKOHARJO</t>
  </si>
  <si>
    <t>CAMAT SUKOHARJO</t>
  </si>
  <si>
    <t>Kec. Sukoharjo</t>
  </si>
  <si>
    <t>Kec.Sukoharjo</t>
  </si>
  <si>
    <t>botol</t>
  </si>
  <si>
    <t>- Stopmap Kertas</t>
  </si>
  <si>
    <t>lbr</t>
  </si>
  <si>
    <t>- Snelhecter Kertas</t>
  </si>
  <si>
    <t>- Isi Pisau Cutter Besar</t>
  </si>
  <si>
    <t>- Ordner Folio</t>
  </si>
  <si>
    <t>kali</t>
  </si>
  <si>
    <t>- Lap Kaca</t>
  </si>
  <si>
    <t>Bln</t>
  </si>
  <si>
    <t>Terpenuhi</t>
  </si>
  <si>
    <t>Kecamatan Sukoharjo</t>
  </si>
  <si>
    <t>Penyediaan Jasa Komunikasi, Sumber Daya Air dan Listrik</t>
  </si>
  <si>
    <t>Thn</t>
  </si>
  <si>
    <t>Program Peningkatan Sarana dan Prasarana Aparatur</t>
  </si>
  <si>
    <t>Belanja Perawatan Kendaraan bermotor</t>
  </si>
  <si>
    <t>BELANJA LANGSUNG</t>
  </si>
  <si>
    <t>Belanja Alat Tulis Kantor</t>
  </si>
  <si>
    <t>- Snack</t>
  </si>
  <si>
    <t>Prog</t>
  </si>
  <si>
    <t>Keg</t>
  </si>
  <si>
    <t>- Stopmap Plastik</t>
  </si>
  <si>
    <t>- Snelhecter Plastik</t>
  </si>
  <si>
    <t>Penyediaan Jasa Komunikasi, Sumber daya air dan Listrik</t>
  </si>
  <si>
    <t>Penyediaan Bahan Bacaan dan Peraturan Perundang-undangan</t>
  </si>
  <si>
    <t>Perangkat Daerah</t>
  </si>
  <si>
    <t>DOKUMEN PELAKSANAAN ANGGARAN</t>
  </si>
  <si>
    <t>PENGESAHAN PARAF TIM PENELITI DPA SKPD</t>
  </si>
  <si>
    <t>SABAR KHOIRI</t>
  </si>
  <si>
    <t>………………………….</t>
  </si>
  <si>
    <t>- PPK - SKPD</t>
  </si>
  <si>
    <t>OB</t>
  </si>
  <si>
    <t>- Kertas HVS Folio 70 gr</t>
  </si>
  <si>
    <t>Doos</t>
  </si>
  <si>
    <t>- Buku Kas Folio isi 100 lbr</t>
  </si>
  <si>
    <t>- Pisau Cutter Besar (L-500)</t>
  </si>
  <si>
    <t>Penyediaan Komponen Instalasi Listrik / Penerangan Bangunan Kantor</t>
  </si>
  <si>
    <t>btl</t>
  </si>
  <si>
    <t>Penyediaan Bahan Bacaan dan Peraturan Perundang - undangan</t>
  </si>
  <si>
    <t>bln</t>
  </si>
  <si>
    <t>FORMULIR DPA -SKPD 2.2.1</t>
  </si>
  <si>
    <t xml:space="preserve">- Makan </t>
  </si>
  <si>
    <t>OK</t>
  </si>
  <si>
    <t>- Kuas 3"</t>
  </si>
  <si>
    <t>Pemeliharaan Rutin / Berkala Gedung Kantor</t>
  </si>
  <si>
    <t>Pemeliharaan Rutin / Berkala Kendaraan Dinas / Operasional</t>
  </si>
  <si>
    <t>I</t>
  </si>
  <si>
    <t>II</t>
  </si>
  <si>
    <t>IV</t>
  </si>
  <si>
    <t>III</t>
  </si>
  <si>
    <t>FORMULIR                                     DPA-SKPD 2.2</t>
  </si>
  <si>
    <t>Kode</t>
  </si>
  <si>
    <t>Triwulan</t>
  </si>
  <si>
    <t>APBD</t>
  </si>
  <si>
    <t>Rekapitulasi Belanja Langsung Berdasarkan Program dan Kegiatan</t>
  </si>
  <si>
    <t>1.  ………………………….</t>
  </si>
  <si>
    <t>2.  ………………………….</t>
  </si>
  <si>
    <t>Program Perencanaan Pembangunan Daerah</t>
  </si>
  <si>
    <t>Pemeliharaan Rutin / Berkala Kendaraan Dinas/Operasional</t>
  </si>
  <si>
    <t>Pemeliharaan Rutin / Berkala Alat-alat Kantor</t>
  </si>
  <si>
    <t>08</t>
  </si>
  <si>
    <t>U r a i a n</t>
  </si>
  <si>
    <t>PENDAPATAN ASLI DAERAH</t>
  </si>
  <si>
    <t>BELANJA MODAL</t>
  </si>
  <si>
    <t>SURPLUS / (DEFISIT)</t>
  </si>
  <si>
    <t>PEMBIAYAAN NETO</t>
  </si>
  <si>
    <t>Rencana Pelaksanaan Anggaran</t>
  </si>
  <si>
    <t>Satuan Kerja Perangkat Daerah per Triwulan</t>
  </si>
  <si>
    <t>No</t>
  </si>
  <si>
    <t>7 = 3+4+5+6</t>
  </si>
  <si>
    <t>Pendapatan</t>
  </si>
  <si>
    <t>Penerimaan Pembiayaan</t>
  </si>
  <si>
    <t>Pengeluaran Pembiayaan</t>
  </si>
  <si>
    <t>( DPA - SKPD )</t>
  </si>
  <si>
    <t>DPA SKPD</t>
  </si>
  <si>
    <t>DPA SKPD 2.1</t>
  </si>
  <si>
    <t>DPA SKPD 2.2</t>
  </si>
  <si>
    <t>DPA SKPD 2.2.1</t>
  </si>
  <si>
    <t>Ringkasan Dokumen Pelaksanaan Anggaran Satuan Kerja</t>
  </si>
  <si>
    <t xml:space="preserve">Rincian Dokumen Pelaksanaan Anggaran Belanja Tidak </t>
  </si>
  <si>
    <t>Langsung Satuan Kerja Perangkat Daerah</t>
  </si>
  <si>
    <t xml:space="preserve">Rincian Dokumen Pelaksanaan Anggaran Belanja Langsung </t>
  </si>
  <si>
    <t xml:space="preserve">- Bendahara Pengeluaran Pembantu </t>
  </si>
  <si>
    <t xml:space="preserve">  Urusan Gaji</t>
  </si>
  <si>
    <t>Belanja Upah Tenaga/Tukang/Pekerja/</t>
  </si>
  <si>
    <t>Operator/Petugas Pelaksana</t>
  </si>
  <si>
    <t xml:space="preserve">Belanja Bahan Bakar Minyak/Gas dan </t>
  </si>
  <si>
    <t>Pelumas</t>
  </si>
  <si>
    <t xml:space="preserve">Belanja Jasa Servis dan Penggantian </t>
  </si>
  <si>
    <t>Komponen</t>
  </si>
  <si>
    <t>Pembina Utama Muda</t>
  </si>
  <si>
    <t>675.000,</t>
  </si>
  <si>
    <t>5 kali</t>
  </si>
  <si>
    <t>NIP. 19741009 199311 1 001</t>
  </si>
  <si>
    <t xml:space="preserve">Belanja peralatan kebersihan dan </t>
  </si>
  <si>
    <t>Bahan pembersih</t>
  </si>
  <si>
    <t xml:space="preserve">     - BBM </t>
  </si>
  <si>
    <t xml:space="preserve">     - BBM</t>
  </si>
  <si>
    <t>- Servis dan Penggantian Komponen</t>
  </si>
  <si>
    <t xml:space="preserve">Rekapitulasi Rincian Anggaran Belanja Langsung </t>
  </si>
  <si>
    <t>Berdasarkan Program dan Kegiatan</t>
  </si>
  <si>
    <t>- Isi Gas LPG tabung 3 Kg</t>
  </si>
  <si>
    <t xml:space="preserve">Honorarium Pengelola Uang dan </t>
  </si>
  <si>
    <t>Penatausahaan Keuangan</t>
  </si>
  <si>
    <t>- Amplop surat kop dinas</t>
  </si>
  <si>
    <t>- Gayung air</t>
  </si>
  <si>
    <t xml:space="preserve">   Komputer , Laptop dan Printer</t>
  </si>
  <si>
    <t xml:space="preserve">   Peralatan dan Perlengkapan Kantor</t>
  </si>
  <si>
    <t xml:space="preserve">- Cat kayu </t>
  </si>
  <si>
    <t>- Tinta Printer</t>
  </si>
  <si>
    <t>18</t>
  </si>
  <si>
    <t>Pemberdayaan Perempuan / Kegiatan PKK</t>
  </si>
  <si>
    <t>…………………………</t>
  </si>
  <si>
    <t>Pembina Tk. I</t>
  </si>
  <si>
    <t>buah</t>
  </si>
  <si>
    <t>dus</t>
  </si>
  <si>
    <t xml:space="preserve">     - Pelumas  </t>
  </si>
  <si>
    <t>- Sapu ijuk</t>
  </si>
  <si>
    <t>- Pewangi Ruangan</t>
  </si>
  <si>
    <t>kaleng</t>
  </si>
  <si>
    <t>- Sikat WC</t>
  </si>
  <si>
    <t>- Tongkat pel</t>
  </si>
  <si>
    <t>Belanja alat listrik dan elektronik</t>
  </si>
  <si>
    <t>( Lampu pijar, battery kering)</t>
  </si>
  <si>
    <t>- Langganan Wonosobo ekspres</t>
  </si>
  <si>
    <t>~ Penunjang Kegiatan Kecamatan</t>
  </si>
  <si>
    <t>rol</t>
  </si>
  <si>
    <t>………………………</t>
  </si>
  <si>
    <t>- Penggaris Plastik 50 cm</t>
  </si>
  <si>
    <t>- Isi Staples Besar</t>
  </si>
  <si>
    <t>- Isi Staples Kecil</t>
  </si>
  <si>
    <t>- Remover</t>
  </si>
  <si>
    <t>- Staples Kecil</t>
  </si>
  <si>
    <t>- File box besar</t>
  </si>
  <si>
    <t>- MCB 10 - 35A</t>
  </si>
  <si>
    <t>- Kain pel</t>
  </si>
  <si>
    <t>- Kreolin wangi</t>
  </si>
  <si>
    <t>Penyediaan Komponen Instalasi Listrik/ Penerangan Bangunan Kantor</t>
  </si>
  <si>
    <t>……………………</t>
  </si>
  <si>
    <t>Rencana Penarikan Dana Per Triwulan :</t>
  </si>
  <si>
    <t>Rencana Penarikan Dana Per Triwulan:</t>
  </si>
  <si>
    <t>- Penghapus Kombinasi besar</t>
  </si>
  <si>
    <t>………………………..</t>
  </si>
  <si>
    <t>……………………….</t>
  </si>
  <si>
    <t>liter</t>
  </si>
  <si>
    <t>- Lampu LED  5 Watt</t>
  </si>
  <si>
    <t>- Kabel Eterna ukuran 3 x 1,5</t>
  </si>
  <si>
    <t>- Langganan Suara Merdeka</t>
  </si>
  <si>
    <t>Penyelenggaraan Musrenbang Kecamatan</t>
  </si>
  <si>
    <t>Program Peningkatan Keberdayaan Masyarakat Perdesaan</t>
  </si>
  <si>
    <t>Program Pengembangan Wawasan kebangsaan</t>
  </si>
  <si>
    <t>4.</t>
  </si>
  <si>
    <t>01.</t>
  </si>
  <si>
    <t>18.</t>
  </si>
  <si>
    <t>URUSAN PEMERINTAHAN FUNGSI</t>
  </si>
  <si>
    <t>PENUNJANG ADMINISTRASI PEMERINTAHAN</t>
  </si>
  <si>
    <t>4.01</t>
  </si>
  <si>
    <t>URUSAN PEMERINTAHAN FUNGSI PENUNJANG ADMINISTRASI PEMERINTAHAN</t>
  </si>
  <si>
    <t>4.01.18.</t>
  </si>
  <si>
    <t>: 4.01.</t>
  </si>
  <si>
    <t>Urusan Pemerintahan Fungsi Penunjang Administrasi Pemerintahan</t>
  </si>
  <si>
    <t>4.01.4.01.18.</t>
  </si>
  <si>
    <t>Drs. M. KRISTIJADI, M.Si</t>
  </si>
  <si>
    <t>NIP. 19681226 199403 1 005</t>
  </si>
  <si>
    <t xml:space="preserve">   Paraf Tim  :                                    1. ....................                                                      2. .......................                     </t>
  </si>
  <si>
    <t>- Pewangi Kamar Mandi</t>
  </si>
  <si>
    <t>Tahun</t>
  </si>
  <si>
    <t>OH</t>
  </si>
  <si>
    <t>: 4.01.18.</t>
  </si>
  <si>
    <t>Program Peningkatan Keamanan dan kenyamanan lingkungan</t>
  </si>
  <si>
    <t>Fasilitasi pembinaan Desa dan kelurahan</t>
  </si>
  <si>
    <t>16</t>
  </si>
  <si>
    <t>Fasilitasi Hari Jadi Wonosobo dan HUT RI</t>
  </si>
  <si>
    <t>Program Peningkatan Peran Serta dan Kesetaraan jender dalam Pembangunan</t>
  </si>
  <si>
    <t>Tahun Anggaran 2018</t>
  </si>
  <si>
    <t>Januari s/d Desember 2018</t>
  </si>
  <si>
    <t>APBD Kabupaten Wonosobo Tahun Anggaran 2018</t>
  </si>
  <si>
    <t>Belanja makanan dan minuman</t>
  </si>
  <si>
    <t>Belanja makanan dan minuman lembur</t>
  </si>
  <si>
    <t>- CD RW</t>
  </si>
  <si>
    <t>- Bak stempel kecil</t>
  </si>
  <si>
    <t>- Pensil Hitam 2 B</t>
  </si>
  <si>
    <t>- Buku Kwitansi besar</t>
  </si>
  <si>
    <t>- Lampu TL 18 Watt</t>
  </si>
  <si>
    <t>- Lampu TL 15 Watt</t>
  </si>
  <si>
    <t>Penyediaan Jasa kebersihan dan keamanan</t>
  </si>
  <si>
    <t>Penyediaan jasa keamanan dan kebersihan kantor</t>
  </si>
  <si>
    <t>Terpenuhinya kebutuhan jasa keamanan dan kebersihan kantor</t>
  </si>
  <si>
    <t>Belanja jasa PHL / Penjaga Malam /</t>
  </si>
  <si>
    <t>Petugas Kebersihan / Ketertiban</t>
  </si>
  <si>
    <t>~ ( 81 s/d 120 Km )</t>
  </si>
  <si>
    <t>- Minyak Cat Kayu</t>
  </si>
  <si>
    <t>- Cat tembok Luar</t>
  </si>
  <si>
    <t>- Cat tembok Dalam</t>
  </si>
  <si>
    <t>Rapat-rapat Koordinasi dan Konsultasi Luar Daerah</t>
  </si>
  <si>
    <t>Penyediaan Jasa Kebersihan dan keamanan</t>
  </si>
  <si>
    <t>NIP. 19740211 199303 1 001</t>
  </si>
  <si>
    <t>04</t>
  </si>
  <si>
    <t>Pos Lainnya</t>
  </si>
  <si>
    <t>Rapat-rapat Koordinasi dan Konsultasi ke luar Daerah</t>
  </si>
  <si>
    <t>Rakor dan konsultasi ke luar daerah</t>
  </si>
  <si>
    <t>Terlaksananya perjalanan dinas ke luar daerah</t>
  </si>
  <si>
    <t>Belanja perjalanan dinas luar daerah</t>
  </si>
  <si>
    <t>- Petugas Jaga Malam : 1 org x 12 bln</t>
  </si>
  <si>
    <t>- Petugas Kebersihan: 1 org x 12 bln</t>
  </si>
  <si>
    <t>~ Operasional Kapolsek  :  1 or x 12 bl</t>
  </si>
  <si>
    <t>~ Operasional Danposmil : 1 or x 12 bl</t>
  </si>
  <si>
    <t>- Suku cadang sepeda motor dinas</t>
  </si>
  <si>
    <t>Fasilitasi Pemilihan kepala Desa</t>
  </si>
  <si>
    <t>Program pengembangan lembaga ekonomi pedesaan</t>
  </si>
  <si>
    <t>Program pemberdayaan masyarakat untuk menjaga ketertiban dan keamanan</t>
  </si>
  <si>
    <t>Program pendidikan politik masyarakat</t>
  </si>
  <si>
    <t>Koordinasi penyelenggaraan pemerintahan umum, pemberdayaan masyarakat dan ketentraman ketertiban umum, pelayanan umum</t>
  </si>
  <si>
    <t>-</t>
  </si>
  <si>
    <t xml:space="preserve">                Paraf Tim :                                                  1. ………………………..                                              2. ………………………………                 </t>
  </si>
  <si>
    <t>Forum Kewaspadaan Dini Mayarakat    ( FKDM )</t>
  </si>
  <si>
    <t>Tahun Anggaran 2019</t>
  </si>
  <si>
    <t>Januari s/d Desember 2019</t>
  </si>
  <si>
    <t>APBD Kabupaten Wonosobo Tahun Anggaran 2019</t>
  </si>
  <si>
    <t>DUDI WARDOYO, AP, M.M</t>
  </si>
  <si>
    <t>Wonosobo,        Januari 2019</t>
  </si>
  <si>
    <t>BELANJA  BARANG DAN JASA</t>
  </si>
  <si>
    <t>- Buku tulis isi 38 lbr</t>
  </si>
  <si>
    <t>- Binder Clip 32 mm</t>
  </si>
  <si>
    <t>- Perforator No.40 XL</t>
  </si>
  <si>
    <t>- Perforator No.30 XL</t>
  </si>
  <si>
    <t xml:space="preserve">- Buku Folio isi 100 </t>
  </si>
  <si>
    <t>- Stabilo Kecil</t>
  </si>
  <si>
    <t xml:space="preserve">- Spidol besar </t>
  </si>
  <si>
    <t>- Bolpoin BPTP Pilot</t>
  </si>
  <si>
    <t>- Penghapus Cair (Type Ex)</t>
  </si>
  <si>
    <t>Set</t>
  </si>
  <si>
    <t xml:space="preserve">- Lem Glukol Besar </t>
  </si>
  <si>
    <t>- Ballpoint Panthel 2</t>
  </si>
  <si>
    <t>- Staples Besar</t>
  </si>
  <si>
    <t>- Plakban Hitam B</t>
  </si>
  <si>
    <t>- Plakban Bening</t>
  </si>
  <si>
    <t xml:space="preserve">- Stopmap Dinas </t>
  </si>
  <si>
    <t xml:space="preserve">- Stop Kontak </t>
  </si>
  <si>
    <t>01 . 13</t>
  </si>
  <si>
    <t>01. 10.</t>
  </si>
  <si>
    <t>Belanja Perangko, Materai dan benda</t>
  </si>
  <si>
    <t>~ Materai 3.000</t>
  </si>
  <si>
    <t>~ Materai 6.000</t>
  </si>
  <si>
    <t>bks</t>
  </si>
  <si>
    <t>- Pembersih Kaca</t>
  </si>
  <si>
    <t>:  30 org x 10 kali</t>
  </si>
  <si>
    <t>~ Eselon III / Gol. IV</t>
  </si>
  <si>
    <t>~ Eselon IV / Gol. III</t>
  </si>
  <si>
    <t>~ Golongan II</t>
  </si>
  <si>
    <t>- Kran Air Luar</t>
  </si>
  <si>
    <t>- Kran Air Stainless</t>
  </si>
  <si>
    <t xml:space="preserve"> - Ongkos Tukang ( 2 orang x 3 hari )</t>
  </si>
  <si>
    <t>- Kran Air Plastik</t>
  </si>
  <si>
    <t xml:space="preserve"> - Ongkos Tukang ( 2 orang x 7 hari )</t>
  </si>
  <si>
    <t xml:space="preserve">    - Perpanjangan STNK Roda 4</t>
  </si>
  <si>
    <t xml:space="preserve">    - Perpanjangan STNK Roda 2</t>
  </si>
  <si>
    <t xml:space="preserve"> a. BBM &amp; Pelumas kend. Dinas roda 4</t>
  </si>
  <si>
    <t>- Servis Sepeda motor dinas</t>
  </si>
  <si>
    <t xml:space="preserve"> b.BBM &amp; Pelumas sepeda motor dinas</t>
  </si>
  <si>
    <t>- Biaya rekening air / PDAM</t>
  </si>
  <si>
    <t>- Biaya rekening telepon/Internet</t>
  </si>
  <si>
    <t>- Biaya rekening listrik/Token Listrik</t>
  </si>
  <si>
    <t>TAHUN ANGGARAN 2019</t>
  </si>
  <si>
    <t>19741009 199311 1 001</t>
  </si>
  <si>
    <t>Wonosobo,         Januari  2019</t>
  </si>
  <si>
    <t>RINGKASAN DOKUMEN PELAKSANAAN ANGGARAN</t>
  </si>
  <si>
    <t>FORMULIR                      DKA - SKPD</t>
  </si>
  <si>
    <t>PENGESAHAN PARAF</t>
  </si>
  <si>
    <t>KEPALA BPPKAD</t>
  </si>
  <si>
    <t xml:space="preserve">NIP. </t>
  </si>
  <si>
    <t>19681226 199403 1 005</t>
  </si>
  <si>
    <t>KEPALA SKPD</t>
  </si>
  <si>
    <t>Wonosobo,          Januari 2019</t>
  </si>
  <si>
    <t>Menyetujui,</t>
  </si>
  <si>
    <t>Pj. Sekretaris Daerah Kabupaten Wonosobo</t>
  </si>
  <si>
    <t>Kepala Dinas Kependudukan dan Pencatatan Sipil,</t>
  </si>
  <si>
    <t>M. ZUHRI, S.Sos, M.Si</t>
  </si>
  <si>
    <t>NIP. 19610612 198503 1 019</t>
  </si>
  <si>
    <t>RIDWAN SETIA N, S.Kom</t>
  </si>
  <si>
    <t>- Sisa Anggaran</t>
  </si>
  <si>
    <t>- 1 org x 15 kali</t>
  </si>
  <si>
    <t>- Pengurus Barang</t>
  </si>
  <si>
    <t>- Staf Administrasi</t>
  </si>
  <si>
    <t>a. Perjalanan dinas ke Luar Jawa, DKI</t>
  </si>
  <si>
    <t xml:space="preserve">    Banten, Jabar, Jatim</t>
  </si>
  <si>
    <t>b. Perjalanan dinas ke Semarang,DIY,</t>
  </si>
  <si>
    <t>antar kota dalam propinsi Jateng</t>
  </si>
  <si>
    <t xml:space="preserve"> ( di atas 120 Km )</t>
  </si>
  <si>
    <t>c. BBM</t>
  </si>
  <si>
    <t>Pengadaan perlengkapan gedung kantor</t>
  </si>
  <si>
    <t>Pengadaan Mebelair</t>
  </si>
  <si>
    <t>Penataan Lingkungan Kantor</t>
  </si>
  <si>
    <t>45</t>
  </si>
  <si>
    <t>Fasilitasi peningkatan keamanan dan ketertiban masyarakat</t>
  </si>
  <si>
    <t>37</t>
  </si>
  <si>
    <t>Patroli Wilayah</t>
  </si>
  <si>
    <t>Program Pemberdayaan Fakir Miskin, Komunitas Adat Terpencil (KAT) dan penyandang masalah kesejahteraan sosial (PMKS) lainnya</t>
  </si>
  <si>
    <t>Fasilitasi pengembangan potensi lokal bagi masyarakat miskin</t>
  </si>
  <si>
    <t>35</t>
  </si>
  <si>
    <t>47</t>
  </si>
  <si>
    <t>Fasilitasi Pengisian perangkat desa</t>
  </si>
  <si>
    <t>Program pelayanan dan rehabilitasi kesejahteraan sosial</t>
  </si>
  <si>
    <t>09</t>
  </si>
  <si>
    <t>Koordinasi perumusan kebijakan dan sinkronisasi pelaksanaan upaya-upaya penanggulangan kemiskinan dan penurunan kesenjangan</t>
  </si>
  <si>
    <t>Fasilitasi dan Penguatan kapasitas BUMDes</t>
  </si>
  <si>
    <t>Program Peningkatan peran serta kepemudaan</t>
  </si>
  <si>
    <t>Fasilitasi PORKAB ( Pekan Olahraga Kabupaten )</t>
  </si>
  <si>
    <t>Program peningkatan partisipasi masyarakat dalam membangun desa</t>
  </si>
  <si>
    <t>Fasilitasi penguatan kelembagaan dalam rangka pemberdayaan keluarga</t>
  </si>
  <si>
    <t>Program pembinaan dan fasilitasi pengelolaan keuangan desa</t>
  </si>
  <si>
    <t>Pembinaan pengelolaan keuangan daerah / desa</t>
  </si>
  <si>
    <t>Fasilitasi pengamanan pemilihan kepala desa, Kepala Daerah, Legislatif dan presiden</t>
  </si>
  <si>
    <t>29</t>
  </si>
  <si>
    <t>Program peningkatan pelayanan publik</t>
  </si>
  <si>
    <t>Pengembangan Pelayanan Administrasi Terpadu Kecamatan (PATEN)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</si>
</sst>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  <numFmt numFmtId="167" formatCode="0;[Red]0"/>
    <numFmt numFmtId="168" formatCode="_([$Rp-421]* #,##0_);_([$Rp-421]* \(#,##0\);_([$Rp-421]* &quot;-&quot;_);_(@_)"/>
    <numFmt numFmtId="169" formatCode="_(* #,##0.0_);_(* \(#,##0.0\);_(* &quot;-&quot;?_);_(@_)"/>
    <numFmt numFmtId="170" formatCode="_(* #,##0.0_);_(* \(#,##0.0\);_(* &quot;-&quot;_);_(@_)"/>
    <numFmt numFmtId="171" formatCode="_(* #,##0_);_(* \(#,##0\);_(* &quot;-&quot;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b/>
      <sz val="12"/>
      <name val="Arial Narrow"/>
      <family val="2"/>
    </font>
    <font>
      <u/>
      <sz val="1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6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u/>
      <sz val="12"/>
      <name val="Arial Narrow"/>
      <family val="2"/>
    </font>
    <font>
      <sz val="10"/>
      <name val="Arial"/>
      <family val="2"/>
    </font>
    <font>
      <sz val="12"/>
      <color theme="0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" fillId="0" borderId="0"/>
    <xf numFmtId="0" fontId="1" fillId="0" borderId="0"/>
  </cellStyleXfs>
  <cellXfs count="11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8" fontId="7" fillId="0" borderId="8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left" vertical="center"/>
    </xf>
    <xf numFmtId="0" fontId="7" fillId="0" borderId="8" xfId="0" quotePrefix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7" xfId="0" quotePrefix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7" fillId="0" borderId="2" xfId="0" quotePrefix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quotePrefix="1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quotePrefix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" xfId="0" quotePrefix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quotePrefix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2" xfId="0" quotePrefix="1" applyFont="1" applyBorder="1"/>
    <xf numFmtId="49" fontId="7" fillId="0" borderId="1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7" fillId="0" borderId="12" xfId="0" applyFont="1" applyBorder="1"/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26" xfId="0" quotePrefix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2" xfId="0" applyFont="1" applyBorder="1" applyAlignment="1"/>
    <xf numFmtId="41" fontId="7" fillId="0" borderId="12" xfId="0" applyNumberFormat="1" applyFont="1" applyBorder="1" applyAlignment="1"/>
    <xf numFmtId="0" fontId="7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8" xfId="0" quotePrefix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12" xfId="0" applyFont="1" applyBorder="1"/>
    <xf numFmtId="0" fontId="7" fillId="0" borderId="26" xfId="0" applyFont="1" applyBorder="1"/>
    <xf numFmtId="0" fontId="7" fillId="0" borderId="17" xfId="0" applyFont="1" applyBorder="1" applyAlignment="1"/>
    <xf numFmtId="0" fontId="7" fillId="0" borderId="22" xfId="0" applyFont="1" applyBorder="1" applyAlignment="1"/>
    <xf numFmtId="41" fontId="7" fillId="0" borderId="22" xfId="0" applyNumberFormat="1" applyFont="1" applyBorder="1" applyAlignment="1"/>
    <xf numFmtId="165" fontId="7" fillId="0" borderId="22" xfId="1" applyNumberFormat="1" applyFont="1" applyBorder="1" applyAlignment="1"/>
    <xf numFmtId="41" fontId="7" fillId="0" borderId="17" xfId="0" applyNumberFormat="1" applyFont="1" applyBorder="1" applyAlignment="1"/>
    <xf numFmtId="165" fontId="7" fillId="0" borderId="17" xfId="1" applyNumberFormat="1" applyFont="1" applyBorder="1" applyAlignment="1"/>
    <xf numFmtId="41" fontId="6" fillId="0" borderId="0" xfId="0" applyNumberFormat="1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quotePrefix="1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167" fontId="7" fillId="0" borderId="23" xfId="0" applyNumberFormat="1" applyFont="1" applyBorder="1" applyAlignment="1">
      <alignment horizontal="center" vertical="center"/>
    </xf>
    <xf numFmtId="165" fontId="7" fillId="0" borderId="21" xfId="1" applyNumberFormat="1" applyFont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7" fillId="0" borderId="23" xfId="1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indent="1"/>
    </xf>
    <xf numFmtId="0" fontId="7" fillId="0" borderId="2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168" fontId="7" fillId="0" borderId="2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0" xfId="0" applyFont="1" applyBorder="1" applyAlignment="1">
      <alignment vertical="center"/>
    </xf>
    <xf numFmtId="3" fontId="7" fillId="0" borderId="2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horizontal="left" indent="1"/>
    </xf>
    <xf numFmtId="0" fontId="4" fillId="0" borderId="12" xfId="0" applyFont="1" applyBorder="1" applyAlignment="1">
      <alignment vertical="center"/>
    </xf>
    <xf numFmtId="0" fontId="7" fillId="0" borderId="4" xfId="0" quotePrefix="1" applyFont="1" applyBorder="1"/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/>
    <xf numFmtId="0" fontId="7" fillId="0" borderId="17" xfId="0" applyFont="1" applyFill="1" applyBorder="1" applyAlignment="1"/>
    <xf numFmtId="0" fontId="7" fillId="0" borderId="22" xfId="0" applyFont="1" applyFill="1" applyBorder="1" applyAlignment="1"/>
    <xf numFmtId="41" fontId="7" fillId="0" borderId="12" xfId="0" applyNumberFormat="1" applyFont="1" applyFill="1" applyBorder="1" applyAlignment="1"/>
    <xf numFmtId="165" fontId="7" fillId="0" borderId="17" xfId="1" applyNumberFormat="1" applyFont="1" applyFill="1" applyBorder="1" applyAlignment="1"/>
    <xf numFmtId="165" fontId="7" fillId="0" borderId="22" xfId="1" applyNumberFormat="1" applyFont="1" applyFill="1" applyBorder="1" applyAlignment="1"/>
    <xf numFmtId="0" fontId="7" fillId="0" borderId="12" xfId="0" quotePrefix="1" applyFont="1" applyFill="1" applyBorder="1"/>
    <xf numFmtId="0" fontId="7" fillId="0" borderId="17" xfId="0" quotePrefix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2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 horizontal="center"/>
    </xf>
    <xf numFmtId="41" fontId="7" fillId="0" borderId="20" xfId="0" applyNumberFormat="1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4" xfId="0" applyFont="1" applyBorder="1"/>
    <xf numFmtId="0" fontId="7" fillId="0" borderId="5" xfId="0" applyFont="1" applyBorder="1"/>
    <xf numFmtId="165" fontId="7" fillId="0" borderId="0" xfId="1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 indent="1"/>
    </xf>
    <xf numFmtId="0" fontId="13" fillId="0" borderId="0" xfId="0" applyFont="1" applyBorder="1"/>
    <xf numFmtId="0" fontId="13" fillId="0" borderId="7" xfId="0" applyFont="1" applyBorder="1"/>
    <xf numFmtId="0" fontId="13" fillId="0" borderId="0" xfId="0" applyFont="1" applyBorder="1" applyAlignment="1">
      <alignment horizontal="left"/>
    </xf>
    <xf numFmtId="0" fontId="13" fillId="0" borderId="31" xfId="0" applyFont="1" applyBorder="1"/>
    <xf numFmtId="0" fontId="13" fillId="0" borderId="1" xfId="0" applyFont="1" applyBorder="1" applyAlignment="1">
      <alignment horizontal="left" indent="1"/>
    </xf>
    <xf numFmtId="0" fontId="13" fillId="0" borderId="2" xfId="0" applyFont="1" applyBorder="1"/>
    <xf numFmtId="0" fontId="13" fillId="0" borderId="1" xfId="0" applyFont="1" applyBorder="1"/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0" xfId="0" quotePrefix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indent="1"/>
    </xf>
    <xf numFmtId="0" fontId="7" fillId="0" borderId="21" xfId="0" applyFont="1" applyFill="1" applyBorder="1"/>
    <xf numFmtId="0" fontId="7" fillId="0" borderId="20" xfId="0" applyFont="1" applyFill="1" applyBorder="1" applyAlignment="1">
      <alignment vertical="center"/>
    </xf>
    <xf numFmtId="0" fontId="7" fillId="0" borderId="22" xfId="0" quotePrefix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5" xfId="0" quotePrefix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41" fontId="5" fillId="0" borderId="9" xfId="1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65" fontId="4" fillId="0" borderId="32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5" fontId="4" fillId="0" borderId="6" xfId="1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2"/>
    </xf>
    <xf numFmtId="0" fontId="4" fillId="0" borderId="0" xfId="0" quotePrefix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165" fontId="4" fillId="0" borderId="24" xfId="1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41" fontId="4" fillId="0" borderId="4" xfId="1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4" fillId="0" borderId="33" xfId="0" quotePrefix="1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0" fontId="7" fillId="0" borderId="35" xfId="0" applyFont="1" applyBorder="1" applyAlignment="1">
      <alignment vertical="center"/>
    </xf>
    <xf numFmtId="0" fontId="7" fillId="0" borderId="34" xfId="0" applyFont="1" applyFill="1" applyBorder="1" applyAlignment="1">
      <alignment horizontal="left" vertical="center" indent="1"/>
    </xf>
    <xf numFmtId="0" fontId="7" fillId="0" borderId="35" xfId="0" applyFont="1" applyFill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3" xfId="0" quotePrefix="1" applyFont="1" applyBorder="1" applyAlignment="1">
      <alignment vertical="center"/>
    </xf>
    <xf numFmtId="0" fontId="7" fillId="0" borderId="44" xfId="0" quotePrefix="1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quotePrefix="1" applyFont="1" applyBorder="1" applyAlignment="1">
      <alignment horizontal="center" vertical="center"/>
    </xf>
    <xf numFmtId="0" fontId="7" fillId="0" borderId="49" xfId="0" quotePrefix="1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vertical="center"/>
    </xf>
    <xf numFmtId="49" fontId="7" fillId="0" borderId="49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10" fillId="0" borderId="49" xfId="0" applyFont="1" applyBorder="1" applyAlignment="1">
      <alignment vertical="center"/>
    </xf>
    <xf numFmtId="49" fontId="7" fillId="0" borderId="37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1" fontId="4" fillId="0" borderId="54" xfId="1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1" fontId="4" fillId="0" borderId="54" xfId="1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165" fontId="4" fillId="0" borderId="56" xfId="1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65" fontId="4" fillId="0" borderId="44" xfId="1" applyNumberFormat="1" applyFont="1" applyBorder="1" applyAlignment="1">
      <alignment vertical="center"/>
    </xf>
    <xf numFmtId="165" fontId="4" fillId="0" borderId="47" xfId="1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41" fontId="7" fillId="0" borderId="57" xfId="0" applyNumberFormat="1" applyFont="1" applyFill="1" applyBorder="1" applyAlignment="1">
      <alignment horizontal="center" vertical="center"/>
    </xf>
    <xf numFmtId="165" fontId="5" fillId="0" borderId="58" xfId="1" applyNumberFormat="1" applyFont="1" applyBorder="1" applyAlignment="1">
      <alignment vertical="center"/>
    </xf>
    <xf numFmtId="41" fontId="5" fillId="0" borderId="54" xfId="1" applyNumberFormat="1" applyFont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0" fontId="7" fillId="0" borderId="12" xfId="0" quotePrefix="1" applyFont="1" applyBorder="1" applyAlignment="1">
      <alignment horizontal="left" vertical="center" indent="1"/>
    </xf>
    <xf numFmtId="43" fontId="7" fillId="0" borderId="0" xfId="0" applyNumberFormat="1" applyFont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left" vertical="center" indent="2"/>
    </xf>
    <xf numFmtId="41" fontId="7" fillId="0" borderId="0" xfId="0" quotePrefix="1" applyNumberFormat="1" applyFont="1" applyFill="1" applyAlignment="1">
      <alignment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1" xfId="0" quotePrefix="1" applyFont="1" applyFill="1" applyBorder="1"/>
    <xf numFmtId="0" fontId="7" fillId="0" borderId="20" xfId="0" quotePrefix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quotePrefix="1" applyFont="1" applyFill="1" applyBorder="1"/>
    <xf numFmtId="49" fontId="7" fillId="0" borderId="24" xfId="0" applyNumberFormat="1" applyFont="1" applyFill="1" applyBorder="1" applyAlignment="1">
      <alignment horizontal="center" vertical="center"/>
    </xf>
    <xf numFmtId="0" fontId="7" fillId="0" borderId="25" xfId="0" quotePrefix="1" applyFont="1" applyFill="1" applyBorder="1"/>
    <xf numFmtId="0" fontId="7" fillId="0" borderId="29" xfId="0" quotePrefix="1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center" vertical="center"/>
    </xf>
    <xf numFmtId="0" fontId="7" fillId="0" borderId="15" xfId="0" quotePrefix="1" applyFont="1" applyFill="1" applyBorder="1"/>
    <xf numFmtId="0" fontId="7" fillId="0" borderId="18" xfId="0" quotePrefix="1" applyFont="1" applyFill="1" applyBorder="1" applyAlignment="1">
      <alignment vertical="center"/>
    </xf>
    <xf numFmtId="41" fontId="7" fillId="0" borderId="13" xfId="2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3" xfId="0" quotePrefix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44" xfId="0" quotePrefix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48" xfId="0" quotePrefix="1" applyFont="1" applyFill="1" applyBorder="1" applyAlignment="1">
      <alignment horizontal="center" vertical="center"/>
    </xf>
    <xf numFmtId="0" fontId="7" fillId="0" borderId="49" xfId="0" quotePrefix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9" fontId="12" fillId="0" borderId="43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3" xfId="0" quotePrefix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44" xfId="0" quotePrefix="1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49" fontId="12" fillId="0" borderId="49" xfId="0" applyNumberFormat="1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right" vertical="center"/>
    </xf>
    <xf numFmtId="0" fontId="12" fillId="0" borderId="49" xfId="0" applyFont="1" applyBorder="1" applyAlignment="1">
      <alignment horizontal="left" vertical="center"/>
    </xf>
    <xf numFmtId="0" fontId="17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34" xfId="0" applyFont="1" applyBorder="1" applyAlignment="1">
      <alignment horizontal="left" vertical="center" indent="1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41" fontId="9" fillId="0" borderId="0" xfId="2" applyFont="1" applyBorder="1" applyAlignment="1">
      <alignment vertical="center"/>
    </xf>
    <xf numFmtId="41" fontId="9" fillId="0" borderId="31" xfId="2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9" fillId="0" borderId="31" xfId="1" applyNumberFormat="1" applyFont="1" applyBorder="1" applyAlignment="1">
      <alignment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65" fontId="12" fillId="0" borderId="0" xfId="1" applyNumberFormat="1" applyFont="1" applyBorder="1" applyAlignment="1">
      <alignment vertical="center"/>
    </xf>
    <xf numFmtId="165" fontId="12" fillId="0" borderId="31" xfId="1" applyNumberFormat="1" applyFont="1" applyBorder="1" applyAlignment="1">
      <alignment vertical="center"/>
    </xf>
    <xf numFmtId="16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9" fillId="0" borderId="0" xfId="2" applyFont="1" applyBorder="1" applyAlignment="1">
      <alignment horizontal="center" vertical="center"/>
    </xf>
    <xf numFmtId="41" fontId="9" fillId="0" borderId="31" xfId="2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41" fontId="12" fillId="0" borderId="0" xfId="2" applyFont="1" applyBorder="1" applyAlignment="1">
      <alignment horizontal="center" vertical="center"/>
    </xf>
    <xf numFmtId="41" fontId="12" fillId="0" borderId="31" xfId="2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quotePrefix="1" applyFont="1" applyBorder="1" applyAlignment="1">
      <alignment vertical="center"/>
    </xf>
    <xf numFmtId="167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1" fontId="12" fillId="0" borderId="2" xfId="2" applyFont="1" applyBorder="1" applyAlignment="1">
      <alignment horizontal="center" vertical="center"/>
    </xf>
    <xf numFmtId="41" fontId="12" fillId="0" borderId="3" xfId="2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8" xfId="0" quotePrefix="1" applyFont="1" applyFill="1" applyBorder="1" applyAlignment="1">
      <alignment vertical="center"/>
    </xf>
    <xf numFmtId="0" fontId="9" fillId="0" borderId="8" xfId="0" quotePrefix="1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5" fontId="9" fillId="0" borderId="8" xfId="1" applyNumberFormat="1" applyFont="1" applyFill="1" applyBorder="1" applyAlignment="1">
      <alignment vertical="center"/>
    </xf>
    <xf numFmtId="165" fontId="9" fillId="0" borderId="9" xfId="1" applyNumberFormat="1" applyFont="1" applyFill="1" applyBorder="1" applyAlignment="1">
      <alignment horizontal="right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" xfId="0" quotePrefix="1" applyFont="1" applyFill="1" applyBorder="1" applyAlignment="1">
      <alignment vertical="center"/>
    </xf>
    <xf numFmtId="0" fontId="12" fillId="0" borderId="6" xfId="0" quotePrefix="1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5" fontId="12" fillId="0" borderId="6" xfId="1" applyNumberFormat="1" applyFont="1" applyFill="1" applyBorder="1" applyAlignment="1">
      <alignment vertical="center"/>
    </xf>
    <xf numFmtId="165" fontId="12" fillId="0" borderId="59" xfId="1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2" fillId="0" borderId="61" xfId="0" applyNumberFormat="1" applyFont="1" applyBorder="1" applyAlignment="1">
      <alignment horizontal="right" vertical="center"/>
    </xf>
    <xf numFmtId="49" fontId="12" fillId="0" borderId="62" xfId="0" applyNumberFormat="1" applyFont="1" applyBorder="1" applyAlignment="1">
      <alignment vertical="center"/>
    </xf>
    <xf numFmtId="166" fontId="12" fillId="0" borderId="29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49" fontId="12" fillId="0" borderId="29" xfId="0" applyNumberFormat="1" applyFont="1" applyBorder="1" applyAlignment="1">
      <alignment horizontal="center" vertical="center"/>
    </xf>
    <xf numFmtId="168" fontId="12" fillId="0" borderId="29" xfId="0" applyNumberFormat="1" applyFont="1" applyBorder="1" applyAlignment="1">
      <alignment vertical="center"/>
    </xf>
    <xf numFmtId="49" fontId="12" fillId="0" borderId="63" xfId="0" applyNumberFormat="1" applyFont="1" applyBorder="1" applyAlignment="1">
      <alignment horizontal="right" vertical="center"/>
    </xf>
    <xf numFmtId="49" fontId="12" fillId="0" borderId="22" xfId="0" applyNumberFormat="1" applyFont="1" applyBorder="1" applyAlignment="1">
      <alignment vertical="center"/>
    </xf>
    <xf numFmtId="166" fontId="12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168" fontId="12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49" fontId="12" fillId="0" borderId="64" xfId="0" applyNumberFormat="1" applyFont="1" applyBorder="1" applyAlignment="1">
      <alignment horizontal="right" vertical="center"/>
    </xf>
    <xf numFmtId="49" fontId="12" fillId="0" borderId="65" xfId="0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49" fontId="12" fillId="0" borderId="28" xfId="0" applyNumberFormat="1" applyFont="1" applyBorder="1" applyAlignment="1">
      <alignment horizontal="center" vertical="center"/>
    </xf>
    <xf numFmtId="168" fontId="12" fillId="0" borderId="28" xfId="0" applyNumberFormat="1" applyFont="1" applyBorder="1" applyAlignment="1">
      <alignment vertical="center"/>
    </xf>
    <xf numFmtId="41" fontId="7" fillId="3" borderId="13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66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165" fontId="11" fillId="0" borderId="0" xfId="1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168" fontId="19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quotePrefix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41" fontId="7" fillId="5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71" fontId="20" fillId="3" borderId="0" xfId="0" applyNumberFormat="1" applyFont="1" applyFill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49" fontId="9" fillId="0" borderId="16" xfId="0" quotePrefix="1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41" fontId="5" fillId="0" borderId="54" xfId="1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9" fontId="4" fillId="0" borderId="15" xfId="0" applyNumberFormat="1" applyFont="1" applyFill="1" applyBorder="1" applyAlignment="1">
      <alignment horizontal="center" vertical="center"/>
    </xf>
    <xf numFmtId="41" fontId="4" fillId="0" borderId="11" xfId="1" applyNumberFormat="1" applyFont="1" applyFill="1" applyBorder="1" applyAlignment="1">
      <alignment vertical="center"/>
    </xf>
    <xf numFmtId="41" fontId="5" fillId="0" borderId="69" xfId="1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1" fontId="4" fillId="0" borderId="69" xfId="1" applyNumberFormat="1" applyFont="1" applyFill="1" applyBorder="1" applyAlignment="1">
      <alignment vertical="center"/>
    </xf>
    <xf numFmtId="49" fontId="4" fillId="0" borderId="7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left" vertical="center"/>
    </xf>
    <xf numFmtId="9" fontId="4" fillId="0" borderId="71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41" fontId="4" fillId="0" borderId="33" xfId="1" applyNumberFormat="1" applyFont="1" applyFill="1" applyBorder="1" applyAlignment="1">
      <alignment vertical="center"/>
    </xf>
    <xf numFmtId="41" fontId="4" fillId="0" borderId="72" xfId="1" applyNumberFormat="1" applyFont="1" applyFill="1" applyBorder="1" applyAlignment="1">
      <alignment vertical="center"/>
    </xf>
    <xf numFmtId="49" fontId="4" fillId="0" borderId="73" xfId="0" applyNumberFormat="1" applyFont="1" applyFill="1" applyBorder="1" applyAlignment="1">
      <alignment horizontal="center" vertical="center"/>
    </xf>
    <xf numFmtId="41" fontId="5" fillId="0" borderId="74" xfId="1" applyNumberFormat="1" applyFont="1" applyFill="1" applyBorder="1" applyAlignment="1">
      <alignment vertical="center"/>
    </xf>
    <xf numFmtId="41" fontId="5" fillId="0" borderId="75" xfId="1" applyNumberFormat="1" applyFont="1" applyFill="1" applyBorder="1" applyAlignment="1">
      <alignment vertical="center"/>
    </xf>
    <xf numFmtId="41" fontId="21" fillId="0" borderId="13" xfId="0" applyNumberFormat="1" applyFont="1" applyFill="1" applyBorder="1" applyAlignment="1">
      <alignment horizontal="left" vertical="center" indent="2"/>
    </xf>
    <xf numFmtId="0" fontId="7" fillId="0" borderId="34" xfId="0" applyFont="1" applyBorder="1" applyAlignment="1">
      <alignment horizontal="left" vertical="top" indent="1"/>
    </xf>
    <xf numFmtId="49" fontId="6" fillId="0" borderId="7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9" fontId="5" fillId="0" borderId="77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vertical="center"/>
    </xf>
    <xf numFmtId="49" fontId="4" fillId="0" borderId="79" xfId="0" applyNumberFormat="1" applyFont="1" applyFill="1" applyBorder="1" applyAlignment="1">
      <alignment vertical="center"/>
    </xf>
    <xf numFmtId="49" fontId="4" fillId="0" borderId="80" xfId="0" applyNumberFormat="1" applyFont="1" applyFill="1" applyBorder="1" applyAlignment="1">
      <alignment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5" fontId="12" fillId="0" borderId="31" xfId="1" applyNumberFormat="1" applyFont="1" applyFill="1" applyBorder="1" applyAlignment="1">
      <alignment vertical="center"/>
    </xf>
    <xf numFmtId="49" fontId="6" fillId="0" borderId="83" xfId="0" applyNumberFormat="1" applyFont="1" applyBorder="1" applyAlignment="1">
      <alignment horizontal="center" vertical="center"/>
    </xf>
    <xf numFmtId="49" fontId="6" fillId="0" borderId="84" xfId="0" applyNumberFormat="1" applyFont="1" applyBorder="1" applyAlignment="1">
      <alignment horizontal="center"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7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167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7" fillId="0" borderId="67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6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38" xfId="0" applyNumberFormat="1" applyFont="1" applyFill="1" applyBorder="1" applyAlignment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49" fontId="7" fillId="0" borderId="8" xfId="0" quotePrefix="1" applyNumberFormat="1" applyFont="1" applyFill="1" applyBorder="1" applyAlignment="1">
      <alignment vertical="center"/>
    </xf>
    <xf numFmtId="0" fontId="7" fillId="0" borderId="12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7" fillId="0" borderId="0" xfId="2" applyFont="1" applyFill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4" fontId="7" fillId="0" borderId="0" xfId="0" applyNumberFormat="1" applyFont="1" applyAlignment="1">
      <alignment vertical="center"/>
    </xf>
    <xf numFmtId="49" fontId="4" fillId="0" borderId="93" xfId="0" applyNumberFormat="1" applyFont="1" applyFill="1" applyBorder="1" applyAlignment="1">
      <alignment horizontal="left" vertical="center" indent="2"/>
    </xf>
    <xf numFmtId="0" fontId="7" fillId="6" borderId="5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/>
    </xf>
    <xf numFmtId="41" fontId="7" fillId="0" borderId="5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1" fontId="7" fillId="0" borderId="38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41" fontId="7" fillId="0" borderId="16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30" xfId="1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0" fontId="0" fillId="0" borderId="0" xfId="0" applyFill="1"/>
    <xf numFmtId="41" fontId="21" fillId="0" borderId="13" xfId="0" applyNumberFormat="1" applyFont="1" applyFill="1" applyBorder="1" applyAlignment="1">
      <alignment vertical="center"/>
    </xf>
    <xf numFmtId="165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1" fontId="7" fillId="3" borderId="1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41" fontId="7" fillId="0" borderId="38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5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5" fontId="7" fillId="0" borderId="12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>
      <alignment horizontal="center"/>
    </xf>
    <xf numFmtId="165" fontId="7" fillId="0" borderId="22" xfId="1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1" fontId="7" fillId="0" borderId="21" xfId="0" applyNumberFormat="1" applyFont="1" applyBorder="1" applyAlignment="1">
      <alignment horizontal="center"/>
    </xf>
    <xf numFmtId="41" fontId="7" fillId="0" borderId="20" xfId="0" applyNumberFormat="1" applyFont="1" applyBorder="1" applyAlignment="1">
      <alignment horizontal="center"/>
    </xf>
    <xf numFmtId="41" fontId="7" fillId="0" borderId="23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42" xfId="0" quotePrefix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47" xfId="0" quotePrefix="1" applyFont="1" applyBorder="1" applyAlignment="1">
      <alignment horizontal="center" vertical="center"/>
    </xf>
    <xf numFmtId="0" fontId="12" fillId="0" borderId="43" xfId="0" quotePrefix="1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0" xfId="0" quotePrefix="1" applyFont="1" applyBorder="1" applyAlignment="1">
      <alignment horizontal="right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1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38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41" fontId="7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11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47" xfId="0" quotePrefix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quotePrefix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44" xfId="0" applyNumberFormat="1" applyFont="1" applyBorder="1" applyAlignment="1">
      <alignment horizontal="center" vertical="center"/>
    </xf>
    <xf numFmtId="41" fontId="12" fillId="0" borderId="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44" xfId="0" applyNumberFormat="1" applyFont="1" applyFill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53" xfId="0" applyNumberFormat="1" applyFont="1" applyBorder="1" applyAlignment="1">
      <alignment horizontal="center" vertical="center"/>
    </xf>
    <xf numFmtId="41" fontId="21" fillId="0" borderId="6" xfId="0" applyNumberFormat="1" applyFont="1" applyBorder="1" applyAlignment="1">
      <alignment horizontal="center" vertical="center"/>
    </xf>
    <xf numFmtId="41" fontId="22" fillId="0" borderId="6" xfId="0" applyNumberFormat="1" applyFont="1" applyBorder="1" applyAlignment="1">
      <alignment horizontal="center" vertical="center"/>
    </xf>
    <xf numFmtId="41" fontId="22" fillId="0" borderId="4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38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90" xfId="0" applyNumberFormat="1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41" fontId="9" fillId="0" borderId="60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4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9" fillId="0" borderId="45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44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7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4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53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9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41" fontId="12" fillId="0" borderId="22" xfId="0" applyNumberFormat="1" applyFont="1" applyFill="1" applyBorder="1" applyAlignment="1">
      <alignment horizontal="center" vertical="center"/>
    </xf>
    <xf numFmtId="41" fontId="12" fillId="0" borderId="38" xfId="0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41" fontId="12" fillId="0" borderId="26" xfId="0" applyNumberFormat="1" applyFont="1" applyBorder="1" applyAlignment="1">
      <alignment horizontal="center" vertical="center"/>
    </xf>
    <xf numFmtId="41" fontId="12" fillId="0" borderId="65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2" xfId="2" applyFont="1" applyBorder="1" applyAlignment="1">
      <alignment horizontal="center" vertical="center"/>
    </xf>
    <xf numFmtId="41" fontId="7" fillId="0" borderId="17" xfId="2" applyFont="1" applyBorder="1" applyAlignment="1">
      <alignment horizontal="center" vertical="center"/>
    </xf>
    <xf numFmtId="41" fontId="7" fillId="0" borderId="22" xfId="2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85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8" fontId="6" fillId="0" borderId="89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41" fontId="7" fillId="0" borderId="21" xfId="2" applyFont="1" applyBorder="1" applyAlignment="1">
      <alignment horizontal="center" vertical="center"/>
    </xf>
    <xf numFmtId="41" fontId="7" fillId="0" borderId="20" xfId="2" applyFont="1" applyBorder="1" applyAlignment="1">
      <alignment horizontal="center" vertical="center"/>
    </xf>
    <xf numFmtId="41" fontId="7" fillId="0" borderId="23" xfId="2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8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center" vertical="center"/>
    </xf>
    <xf numFmtId="168" fontId="7" fillId="0" borderId="35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9" fontId="7" fillId="0" borderId="35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8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1" fontId="7" fillId="0" borderId="38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10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167" fontId="7" fillId="0" borderId="2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6" fillId="0" borderId="38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68" fontId="7" fillId="0" borderId="2" xfId="0" applyNumberFormat="1" applyFont="1" applyBorder="1" applyAlignment="1">
      <alignment vertical="center"/>
    </xf>
    <xf numFmtId="41" fontId="7" fillId="0" borderId="38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57" xfId="0" applyNumberFormat="1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horizontal="center" vertical="center"/>
    </xf>
    <xf numFmtId="41" fontId="7" fillId="0" borderId="29" xfId="0" applyNumberFormat="1" applyFont="1" applyFill="1" applyBorder="1" applyAlignment="1">
      <alignment horizontal="center" vertical="center"/>
    </xf>
    <xf numFmtId="41" fontId="7" fillId="0" borderId="91" xfId="0" applyNumberFormat="1" applyFont="1" applyFill="1" applyBorder="1" applyAlignment="1">
      <alignment horizontal="center" vertical="center"/>
    </xf>
    <xf numFmtId="168" fontId="6" fillId="0" borderId="89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41" fontId="7" fillId="0" borderId="22" xfId="0" applyNumberFormat="1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35" xfId="0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>
      <alignment horizontal="center"/>
    </xf>
    <xf numFmtId="165" fontId="7" fillId="0" borderId="22" xfId="1" applyNumberFormat="1" applyFont="1" applyFill="1" applyBorder="1" applyAlignment="1">
      <alignment horizontal="center"/>
    </xf>
    <xf numFmtId="165" fontId="7" fillId="0" borderId="26" xfId="1" applyNumberFormat="1" applyFont="1" applyFill="1" applyBorder="1" applyAlignment="1">
      <alignment horizontal="center"/>
    </xf>
    <xf numFmtId="165" fontId="7" fillId="0" borderId="28" xfId="1" applyNumberFormat="1" applyFont="1" applyFill="1" applyBorder="1" applyAlignment="1">
      <alignment horizontal="center"/>
    </xf>
    <xf numFmtId="165" fontId="7" fillId="0" borderId="65" xfId="1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5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168" fontId="7" fillId="0" borderId="3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9" fontId="7" fillId="0" borderId="3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65" fontId="7" fillId="0" borderId="25" xfId="1" applyNumberFormat="1" applyFont="1" applyFill="1" applyBorder="1" applyAlignment="1">
      <alignment horizontal="center"/>
    </xf>
    <xf numFmtId="165" fontId="7" fillId="0" borderId="29" xfId="1" applyNumberFormat="1" applyFont="1" applyFill="1" applyBorder="1" applyAlignment="1">
      <alignment horizontal="center"/>
    </xf>
    <xf numFmtId="165" fontId="7" fillId="0" borderId="62" xfId="1" applyNumberFormat="1" applyFont="1" applyFill="1" applyBorder="1" applyAlignment="1">
      <alignment horizont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3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21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41" fontId="7" fillId="0" borderId="12" xfId="2" applyFont="1" applyFill="1" applyBorder="1" applyAlignment="1">
      <alignment horizontal="center" vertical="center"/>
    </xf>
    <xf numFmtId="41" fontId="7" fillId="0" borderId="17" xfId="2" applyFont="1" applyFill="1" applyBorder="1" applyAlignment="1">
      <alignment horizontal="center" vertical="center"/>
    </xf>
    <xf numFmtId="41" fontId="7" fillId="0" borderId="22" xfId="2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165" fontId="7" fillId="0" borderId="22" xfId="1" applyNumberFormat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center" vertical="center"/>
    </xf>
    <xf numFmtId="41" fontId="7" fillId="0" borderId="28" xfId="0" applyNumberFormat="1" applyFont="1" applyFill="1" applyBorder="1" applyAlignment="1">
      <alignment horizontal="center" vertical="center"/>
    </xf>
    <xf numFmtId="41" fontId="7" fillId="0" borderId="90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7" fillId="0" borderId="26" xfId="0" applyNumberFormat="1" applyFont="1" applyFill="1" applyBorder="1" applyAlignment="1">
      <alignment horizontal="center"/>
    </xf>
    <xf numFmtId="41" fontId="7" fillId="0" borderId="28" xfId="0" applyNumberFormat="1" applyFont="1" applyFill="1" applyBorder="1" applyAlignment="1">
      <alignment horizontal="center"/>
    </xf>
    <xf numFmtId="41" fontId="7" fillId="0" borderId="65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41" fontId="7" fillId="0" borderId="30" xfId="1" applyNumberFormat="1" applyFont="1" applyBorder="1" applyAlignment="1">
      <alignment horizontal="center" vertical="center"/>
    </xf>
    <xf numFmtId="41" fontId="7" fillId="0" borderId="14" xfId="1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45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/>
    </xf>
    <xf numFmtId="41" fontId="7" fillId="0" borderId="28" xfId="0" applyNumberFormat="1" applyFont="1" applyBorder="1" applyAlignment="1">
      <alignment horizontal="center"/>
    </xf>
    <xf numFmtId="41" fontId="7" fillId="0" borderId="6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7" fillId="0" borderId="17" xfId="0" applyNumberFormat="1" applyFont="1" applyBorder="1" applyAlignment="1">
      <alignment horizontal="center"/>
    </xf>
    <xf numFmtId="41" fontId="7" fillId="0" borderId="22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65" xfId="0" applyNumberFormat="1" applyFont="1" applyBorder="1" applyAlignment="1">
      <alignment horizontal="center"/>
    </xf>
    <xf numFmtId="165" fontId="7" fillId="0" borderId="26" xfId="1" applyNumberFormat="1" applyFont="1" applyBorder="1" applyAlignment="1">
      <alignment horizontal="center"/>
    </xf>
    <xf numFmtId="165" fontId="7" fillId="0" borderId="28" xfId="1" applyNumberFormat="1" applyFont="1" applyBorder="1" applyAlignment="1">
      <alignment horizontal="center"/>
    </xf>
    <xf numFmtId="165" fontId="7" fillId="0" borderId="65" xfId="1" applyNumberFormat="1" applyFont="1" applyBorder="1" applyAlignment="1">
      <alignment horizont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10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41" fontId="7" fillId="0" borderId="67" xfId="0" applyNumberFormat="1" applyFont="1" applyBorder="1" applyAlignment="1">
      <alignment horizontal="center" vertical="center"/>
    </xf>
    <xf numFmtId="41" fontId="7" fillId="0" borderId="112" xfId="0" applyNumberFormat="1" applyFont="1" applyBorder="1" applyAlignment="1">
      <alignment horizontal="center" vertical="center"/>
    </xf>
    <xf numFmtId="41" fontId="7" fillId="0" borderId="66" xfId="0" applyNumberFormat="1" applyFont="1" applyBorder="1" applyAlignment="1">
      <alignment horizontal="center" vertical="center"/>
    </xf>
    <xf numFmtId="41" fontId="7" fillId="0" borderId="111" xfId="0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/>
    </xf>
    <xf numFmtId="165" fontId="7" fillId="0" borderId="17" xfId="1" applyNumberFormat="1" applyFont="1" applyBorder="1" applyAlignment="1">
      <alignment horizontal="center"/>
    </xf>
    <xf numFmtId="165" fontId="7" fillId="0" borderId="22" xfId="1" applyNumberFormat="1" applyFont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8" fontId="7" fillId="0" borderId="0" xfId="0" quotePrefix="1" applyNumberFormat="1" applyFont="1" applyBorder="1" applyAlignment="1">
      <alignment vertical="center"/>
    </xf>
    <xf numFmtId="41" fontId="7" fillId="0" borderId="26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9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68" fontId="7" fillId="0" borderId="89" xfId="0" applyNumberFormat="1" applyFont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168" fontId="7" fillId="0" borderId="6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horizontal="center" vertical="center"/>
    </xf>
    <xf numFmtId="166" fontId="7" fillId="0" borderId="12" xfId="2" applyNumberFormat="1" applyFont="1" applyBorder="1" applyAlignment="1">
      <alignment horizontal="center"/>
    </xf>
    <xf numFmtId="166" fontId="7" fillId="0" borderId="22" xfId="2" applyNumberFormat="1" applyFont="1" applyBorder="1" applyAlignment="1">
      <alignment horizontal="center"/>
    </xf>
    <xf numFmtId="41" fontId="7" fillId="0" borderId="12" xfId="2" applyFont="1" applyBorder="1" applyAlignment="1">
      <alignment horizontal="center"/>
    </xf>
    <xf numFmtId="41" fontId="7" fillId="0" borderId="17" xfId="2" applyFont="1" applyBorder="1" applyAlignment="1">
      <alignment horizontal="center"/>
    </xf>
    <xf numFmtId="41" fontId="7" fillId="0" borderId="22" xfId="2" applyFont="1" applyBorder="1" applyAlignment="1">
      <alignment horizontal="center"/>
    </xf>
    <xf numFmtId="41" fontId="6" fillId="0" borderId="22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88" xfId="0" applyNumberFormat="1" applyFont="1" applyBorder="1" applyAlignment="1">
      <alignment horizontal="center" vertical="center"/>
    </xf>
    <xf numFmtId="41" fontId="7" fillId="0" borderId="12" xfId="2" applyFont="1" applyFill="1" applyBorder="1" applyAlignment="1">
      <alignment horizontal="center"/>
    </xf>
    <xf numFmtId="41" fontId="7" fillId="0" borderId="17" xfId="2" applyFont="1" applyFill="1" applyBorder="1" applyAlignment="1">
      <alignment horizontal="center"/>
    </xf>
    <xf numFmtId="41" fontId="7" fillId="0" borderId="22" xfId="2" applyFont="1" applyFill="1" applyBorder="1" applyAlignment="1">
      <alignment horizontal="center"/>
    </xf>
    <xf numFmtId="41" fontId="7" fillId="0" borderId="22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0" fontId="6" fillId="0" borderId="31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/>
    </xf>
    <xf numFmtId="41" fontId="7" fillId="0" borderId="20" xfId="0" applyNumberFormat="1" applyFont="1" applyBorder="1" applyAlignment="1">
      <alignment horizontal="center"/>
    </xf>
    <xf numFmtId="41" fontId="7" fillId="0" borderId="23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</cellXfs>
  <cellStyles count="7">
    <cellStyle name="Comma" xfId="1" builtinId="3"/>
    <cellStyle name="Comma [0]" xfId="2" builtinId="6"/>
    <cellStyle name="Comma [0] 2" xfId="3"/>
    <cellStyle name="Comma 2" xfId="4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142875</xdr:rowOff>
    </xdr:from>
    <xdr:to>
      <xdr:col>11</xdr:col>
      <xdr:colOff>28575</xdr:colOff>
      <xdr:row>55</xdr:row>
      <xdr:rowOff>76200</xdr:rowOff>
    </xdr:to>
    <xdr:sp macro="" textlink="">
      <xdr:nvSpPr>
        <xdr:cNvPr id="1703" name="AutoShape 2"/>
        <xdr:cNvSpPr>
          <a:spLocks noChangeArrowheads="1"/>
        </xdr:cNvSpPr>
      </xdr:nvSpPr>
      <xdr:spPr bwMode="auto">
        <a:xfrm>
          <a:off x="66675" y="342900"/>
          <a:ext cx="5857875" cy="10401300"/>
        </a:xfrm>
        <a:prstGeom prst="plaque">
          <a:avLst>
            <a:gd name="adj" fmla="val 16667"/>
          </a:avLst>
        </a:prstGeom>
        <a:solidFill>
          <a:srgbClr val="FFFFFF">
            <a:alpha val="0"/>
          </a:srgbClr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  <a:p>
          <a:endParaRPr lang="en-US"/>
        </a:p>
      </xdr:txBody>
    </xdr:sp>
    <xdr:clientData/>
  </xdr:twoCellAnchor>
  <xdr:twoCellAnchor>
    <xdr:from>
      <xdr:col>6</xdr:col>
      <xdr:colOff>142875</xdr:colOff>
      <xdr:row>3</xdr:row>
      <xdr:rowOff>152400</xdr:rowOff>
    </xdr:from>
    <xdr:to>
      <xdr:col>9</xdr:col>
      <xdr:colOff>200025</xdr:colOff>
      <xdr:row>7</xdr:row>
      <xdr:rowOff>57150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</a:blip>
        <a:srcRect/>
        <a:stretch>
          <a:fillRect/>
        </a:stretch>
      </xdr:blipFill>
      <xdr:spPr bwMode="auto">
        <a:xfrm>
          <a:off x="2495550" y="72390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BENDAHARA/TA.2017/RKA%20DPA/DPA%20RUTI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R (2)"/>
      <sheetName val="CVR"/>
      <sheetName val="DPAgaji (2)"/>
      <sheetName val="DPAgaji"/>
      <sheetName val="RKSN (2)"/>
      <sheetName val="RKSN"/>
      <sheetName val="RKP (2)"/>
      <sheetName val="RKP"/>
      <sheetName val="Litrik (2)"/>
      <sheetName val="Litrik"/>
      <sheetName val="Hon Keu (2)"/>
      <sheetName val="Hon Keu"/>
      <sheetName val="ATK (2)"/>
      <sheetName val="ATK"/>
      <sheetName val="cetak (2)"/>
      <sheetName val="cetak"/>
      <sheetName val="listrik (2)"/>
      <sheetName val="listrik"/>
      <sheetName val="alat kbersihan (2)"/>
      <sheetName val="alat kbersihan"/>
      <sheetName val="Koran (2)"/>
      <sheetName val="Koran"/>
      <sheetName val="makan (2)"/>
      <sheetName val="makan"/>
      <sheetName val="Perj.Din (2)"/>
      <sheetName val="Perj.Din"/>
      <sheetName val="Pel.Um (2)"/>
      <sheetName val="Pel.Um"/>
      <sheetName val="rumdin (2)"/>
      <sheetName val="rumdin"/>
      <sheetName val="Ged.K (2)"/>
      <sheetName val="Ged.K"/>
      <sheetName val="Kend (2)"/>
      <sheetName val="Kend"/>
      <sheetName val="alat.k (2)"/>
      <sheetName val="alat.k"/>
      <sheetName val="Jasa Keb"/>
      <sheetName val="pengelola keu"/>
      <sheetName val="pengurus baran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0">
          <cell r="I80" t="str">
            <v>Drs. M. KRISTIJADI, M.Si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"/>
  <sheetViews>
    <sheetView showGridLines="0" topLeftCell="A28" workbookViewId="0">
      <selection activeCell="O41" sqref="O41"/>
    </sheetView>
  </sheetViews>
  <sheetFormatPr defaultRowHeight="15.75" x14ac:dyDescent="0.25"/>
  <cols>
    <col min="1" max="1" width="1.85546875" style="1" customWidth="1"/>
    <col min="2" max="3" width="9.140625" style="1"/>
    <col min="4" max="4" width="3.85546875" style="1" customWidth="1"/>
    <col min="5" max="5" width="9.140625" style="1"/>
    <col min="6" max="6" width="2.140625" style="175" customWidth="1"/>
    <col min="7" max="7" width="3.28515625" style="1" customWidth="1"/>
    <col min="8" max="8" width="3.85546875" style="1" customWidth="1"/>
    <col min="9" max="9" width="4.42578125" style="1" customWidth="1"/>
    <col min="10" max="10" width="38.7109375" style="1" customWidth="1"/>
    <col min="11" max="11" width="2.85546875" style="1" customWidth="1"/>
    <col min="12" max="12" width="2.140625" style="1" customWidth="1"/>
    <col min="13" max="16384" width="9.140625" style="1"/>
  </cols>
  <sheetData>
    <row r="1" spans="1:12" x14ac:dyDescent="0.25">
      <c r="A1" s="3"/>
      <c r="B1" s="3"/>
      <c r="C1" s="3"/>
      <c r="D1" s="3"/>
      <c r="E1" s="3"/>
      <c r="F1" s="174"/>
      <c r="G1" s="3"/>
      <c r="H1" s="3"/>
      <c r="I1" s="3"/>
      <c r="J1" s="3"/>
    </row>
    <row r="2" spans="1:12" x14ac:dyDescent="0.25">
      <c r="A2" s="3"/>
      <c r="B2" s="3"/>
      <c r="C2" s="3"/>
      <c r="D2" s="3"/>
      <c r="E2" s="3"/>
      <c r="F2" s="174"/>
      <c r="G2" s="3"/>
      <c r="H2" s="3"/>
      <c r="I2" s="3"/>
      <c r="J2" s="3"/>
    </row>
    <row r="3" spans="1:12" ht="13.5" customHeight="1" x14ac:dyDescent="0.25">
      <c r="A3" s="3"/>
      <c r="B3" s="3"/>
      <c r="C3" s="3"/>
      <c r="D3" s="3"/>
      <c r="E3" s="3"/>
      <c r="F3" s="174"/>
      <c r="G3" s="3"/>
      <c r="H3" s="3"/>
      <c r="I3" s="3"/>
      <c r="J3" s="3"/>
    </row>
    <row r="4" spans="1:12" x14ac:dyDescent="0.25">
      <c r="A4" s="3"/>
      <c r="B4" s="3"/>
      <c r="C4" s="3"/>
      <c r="D4" s="3"/>
      <c r="E4" s="3"/>
      <c r="F4" s="174"/>
      <c r="G4" s="3"/>
      <c r="H4" s="3"/>
      <c r="I4" s="3"/>
      <c r="J4" s="3"/>
    </row>
    <row r="5" spans="1:12" x14ac:dyDescent="0.25">
      <c r="A5" s="3"/>
      <c r="B5" s="3"/>
      <c r="C5" s="3"/>
      <c r="D5" s="3"/>
      <c r="E5" s="3"/>
      <c r="F5" s="174"/>
      <c r="G5" s="3"/>
      <c r="H5" s="3"/>
      <c r="I5" s="3"/>
      <c r="J5" s="3"/>
    </row>
    <row r="6" spans="1:12" x14ac:dyDescent="0.25">
      <c r="A6" s="3"/>
      <c r="B6" s="3"/>
      <c r="C6" s="3"/>
      <c r="D6" s="3"/>
      <c r="E6" s="3"/>
      <c r="F6" s="174"/>
      <c r="G6" s="3"/>
      <c r="H6" s="3"/>
      <c r="I6" s="3"/>
      <c r="J6" s="3"/>
    </row>
    <row r="7" spans="1:12" x14ac:dyDescent="0.25">
      <c r="A7" s="3"/>
      <c r="B7" s="3"/>
      <c r="C7" s="3"/>
      <c r="D7" s="3"/>
      <c r="E7" s="3"/>
      <c r="F7" s="174"/>
      <c r="G7" s="3"/>
      <c r="H7" s="3"/>
      <c r="I7" s="3"/>
      <c r="J7" s="3"/>
    </row>
    <row r="8" spans="1:12" x14ac:dyDescent="0.25">
      <c r="A8" s="3"/>
      <c r="B8" s="3"/>
      <c r="C8" s="3"/>
      <c r="D8" s="3"/>
      <c r="E8" s="3"/>
      <c r="F8" s="174"/>
      <c r="G8" s="3"/>
      <c r="H8" s="3"/>
      <c r="I8" s="3"/>
      <c r="J8" s="3"/>
    </row>
    <row r="9" spans="1:12" ht="20.25" x14ac:dyDescent="0.3">
      <c r="A9" s="177"/>
      <c r="B9" s="741" t="s">
        <v>155</v>
      </c>
      <c r="C9" s="741"/>
      <c r="D9" s="741"/>
      <c r="E9" s="741"/>
      <c r="F9" s="741"/>
      <c r="G9" s="741"/>
      <c r="H9" s="741"/>
      <c r="I9" s="741"/>
      <c r="J9" s="741"/>
      <c r="K9" s="189"/>
      <c r="L9" s="189"/>
    </row>
    <row r="10" spans="1:12" ht="10.5" customHeight="1" x14ac:dyDescent="0.25">
      <c r="A10" s="177"/>
      <c r="B10" s="177"/>
      <c r="C10" s="177"/>
      <c r="D10" s="177"/>
      <c r="E10" s="177"/>
      <c r="F10" s="178"/>
      <c r="G10" s="177"/>
      <c r="H10" s="177"/>
      <c r="I10" s="177"/>
      <c r="J10" s="177"/>
      <c r="K10" s="189"/>
      <c r="L10" s="189"/>
    </row>
    <row r="11" spans="1:12" ht="20.25" x14ac:dyDescent="0.3">
      <c r="A11" s="177"/>
      <c r="B11" s="741" t="s">
        <v>193</v>
      </c>
      <c r="C11" s="741"/>
      <c r="D11" s="741"/>
      <c r="E11" s="741"/>
      <c r="F11" s="741"/>
      <c r="G11" s="741"/>
      <c r="H11" s="741"/>
      <c r="I11" s="741"/>
      <c r="J11" s="741"/>
      <c r="K11" s="189"/>
      <c r="L11" s="189"/>
    </row>
    <row r="12" spans="1:12" ht="20.25" x14ac:dyDescent="0.3">
      <c r="A12" s="177"/>
      <c r="B12" s="741" t="s">
        <v>87</v>
      </c>
      <c r="C12" s="741"/>
      <c r="D12" s="741"/>
      <c r="E12" s="741"/>
      <c r="F12" s="741"/>
      <c r="G12" s="741"/>
      <c r="H12" s="741"/>
      <c r="I12" s="741"/>
      <c r="J12" s="741"/>
      <c r="K12" s="189"/>
      <c r="L12" s="189"/>
    </row>
    <row r="13" spans="1:12" ht="20.25" x14ac:dyDescent="0.3">
      <c r="A13" s="177"/>
      <c r="B13" s="741" t="s">
        <v>240</v>
      </c>
      <c r="C13" s="741"/>
      <c r="D13" s="741"/>
      <c r="E13" s="741"/>
      <c r="F13" s="741"/>
      <c r="G13" s="741"/>
      <c r="H13" s="741"/>
      <c r="I13" s="741"/>
      <c r="J13" s="741"/>
      <c r="K13" s="189"/>
      <c r="L13" s="189"/>
    </row>
    <row r="14" spans="1:12" ht="20.25" x14ac:dyDescent="0.3">
      <c r="A14" s="177"/>
      <c r="B14" s="741" t="s">
        <v>430</v>
      </c>
      <c r="C14" s="741"/>
      <c r="D14" s="741"/>
      <c r="E14" s="741"/>
      <c r="F14" s="741"/>
      <c r="G14" s="741"/>
      <c r="H14" s="741"/>
      <c r="I14" s="741"/>
      <c r="J14" s="741"/>
      <c r="K14" s="189"/>
      <c r="L14" s="189"/>
    </row>
    <row r="15" spans="1:12" x14ac:dyDescent="0.25">
      <c r="A15" s="189"/>
      <c r="B15" s="189"/>
      <c r="C15" s="189"/>
      <c r="D15" s="189"/>
      <c r="E15" s="189"/>
      <c r="F15" s="190"/>
      <c r="G15" s="189"/>
      <c r="H15" s="189"/>
      <c r="I15" s="189"/>
      <c r="J15" s="189"/>
      <c r="K15" s="189"/>
      <c r="L15" s="189"/>
    </row>
    <row r="16" spans="1:12" x14ac:dyDescent="0.25">
      <c r="A16" s="189"/>
      <c r="B16" s="191"/>
      <c r="C16" s="191"/>
      <c r="D16" s="189"/>
      <c r="E16" s="189"/>
      <c r="F16" s="190"/>
      <c r="G16" s="192"/>
      <c r="H16" s="192"/>
      <c r="I16" s="189"/>
      <c r="J16" s="189"/>
      <c r="K16" s="189"/>
      <c r="L16" s="189"/>
    </row>
    <row r="17" spans="1:15" ht="17.25" x14ac:dyDescent="0.3">
      <c r="A17" s="194"/>
      <c r="B17" s="191"/>
      <c r="C17" s="191"/>
      <c r="D17" s="189"/>
      <c r="E17" s="189"/>
      <c r="F17" s="190"/>
      <c r="G17" s="192"/>
      <c r="H17" s="192"/>
      <c r="I17" s="189"/>
      <c r="J17" s="189"/>
      <c r="K17" s="189"/>
      <c r="L17" s="189"/>
    </row>
    <row r="18" spans="1:15" ht="17.25" x14ac:dyDescent="0.3">
      <c r="A18" s="194"/>
      <c r="B18" s="191" t="s">
        <v>88</v>
      </c>
      <c r="C18" s="191"/>
      <c r="D18" s="189"/>
      <c r="E18" s="189"/>
      <c r="F18" s="190" t="s">
        <v>89</v>
      </c>
      <c r="G18" s="193" t="s">
        <v>318</v>
      </c>
      <c r="H18" s="193" t="s">
        <v>319</v>
      </c>
      <c r="I18" s="189"/>
      <c r="J18" s="189" t="s">
        <v>321</v>
      </c>
      <c r="K18" s="189"/>
      <c r="L18" s="189"/>
    </row>
    <row r="19" spans="1:15" ht="17.25" x14ac:dyDescent="0.3">
      <c r="A19" s="194"/>
      <c r="B19" s="191"/>
      <c r="C19" s="191"/>
      <c r="D19" s="189"/>
      <c r="E19" s="189"/>
      <c r="F19" s="190"/>
      <c r="G19" s="192"/>
      <c r="H19" s="192"/>
      <c r="I19" s="192"/>
      <c r="J19" s="189" t="s">
        <v>322</v>
      </c>
      <c r="K19" s="189"/>
      <c r="L19" s="189"/>
    </row>
    <row r="20" spans="1:15" ht="17.25" x14ac:dyDescent="0.3">
      <c r="A20" s="194"/>
      <c r="B20" s="191"/>
      <c r="C20" s="191"/>
      <c r="D20" s="189"/>
      <c r="E20" s="189"/>
      <c r="F20" s="190"/>
      <c r="G20" s="189"/>
      <c r="H20" s="189"/>
      <c r="I20" s="189"/>
      <c r="J20" s="189"/>
      <c r="K20" s="189"/>
      <c r="L20" s="189"/>
    </row>
    <row r="21" spans="1:15" ht="7.5" customHeight="1" x14ac:dyDescent="0.3">
      <c r="A21" s="194"/>
      <c r="B21" s="191"/>
      <c r="C21" s="191"/>
      <c r="D21" s="189"/>
      <c r="E21" s="189"/>
      <c r="F21" s="190"/>
      <c r="G21" s="189"/>
      <c r="H21" s="189"/>
      <c r="I21" s="189"/>
      <c r="J21" s="189"/>
      <c r="K21" s="189"/>
      <c r="L21" s="189"/>
    </row>
    <row r="22" spans="1:15" ht="17.25" x14ac:dyDescent="0.3">
      <c r="A22" s="194"/>
      <c r="B22" s="191" t="s">
        <v>90</v>
      </c>
      <c r="C22" s="191"/>
      <c r="D22" s="189"/>
      <c r="E22" s="189"/>
      <c r="F22" s="190" t="s">
        <v>89</v>
      </c>
      <c r="G22" s="192" t="s">
        <v>318</v>
      </c>
      <c r="H22" s="192" t="s">
        <v>319</v>
      </c>
      <c r="I22" s="192" t="s">
        <v>320</v>
      </c>
      <c r="J22" s="189" t="s">
        <v>164</v>
      </c>
      <c r="K22" s="189"/>
      <c r="L22" s="189"/>
    </row>
    <row r="23" spans="1:15" ht="11.25" customHeight="1" x14ac:dyDescent="0.3">
      <c r="A23" s="194"/>
      <c r="B23" s="195"/>
      <c r="C23" s="195"/>
      <c r="D23" s="197"/>
      <c r="E23" s="194"/>
      <c r="F23" s="196"/>
      <c r="G23" s="194"/>
      <c r="H23" s="194"/>
      <c r="I23" s="194"/>
      <c r="J23" s="194"/>
      <c r="K23" s="189"/>
      <c r="L23" s="189"/>
    </row>
    <row r="24" spans="1:15" ht="24" customHeight="1" x14ac:dyDescent="0.3">
      <c r="A24" s="194"/>
      <c r="B24" s="195"/>
      <c r="C24" s="195"/>
      <c r="D24" s="197"/>
      <c r="E24" s="194"/>
      <c r="F24" s="196"/>
      <c r="G24" s="194"/>
      <c r="H24" s="194"/>
      <c r="I24" s="194"/>
      <c r="J24" s="194"/>
      <c r="K24" s="189"/>
      <c r="L24" s="189"/>
    </row>
    <row r="25" spans="1:15" ht="17.25" x14ac:dyDescent="0.3">
      <c r="A25" s="194"/>
      <c r="B25" s="195" t="s">
        <v>156</v>
      </c>
      <c r="C25" s="195"/>
      <c r="D25" s="197"/>
      <c r="E25" s="194"/>
      <c r="F25" s="196"/>
      <c r="G25" s="194"/>
      <c r="H25" s="194"/>
      <c r="I25" s="194"/>
      <c r="J25" s="194"/>
      <c r="K25" s="189"/>
      <c r="L25" s="189"/>
    </row>
    <row r="26" spans="1:15" ht="14.25" customHeight="1" x14ac:dyDescent="0.3">
      <c r="A26" s="194"/>
      <c r="B26" s="195"/>
      <c r="C26" s="195"/>
      <c r="D26" s="197"/>
      <c r="E26" s="194"/>
      <c r="F26" s="196"/>
      <c r="G26" s="194"/>
      <c r="H26" s="194"/>
      <c r="I26" s="194"/>
      <c r="J26" s="194"/>
      <c r="K26" s="189"/>
      <c r="L26" s="189"/>
    </row>
    <row r="27" spans="1:15" ht="17.25" x14ac:dyDescent="0.3">
      <c r="A27" s="194"/>
      <c r="B27" s="195" t="s">
        <v>157</v>
      </c>
      <c r="C27" s="195"/>
      <c r="D27" s="197" t="s">
        <v>89</v>
      </c>
      <c r="E27" s="194" t="s">
        <v>386</v>
      </c>
      <c r="F27" s="196"/>
      <c r="G27" s="194"/>
      <c r="H27" s="194"/>
      <c r="I27" s="194"/>
      <c r="J27" s="194"/>
      <c r="K27" s="189"/>
      <c r="L27" s="189"/>
    </row>
    <row r="28" spans="1:15" ht="10.5" customHeight="1" x14ac:dyDescent="0.3">
      <c r="A28" s="194"/>
      <c r="B28" s="195"/>
      <c r="C28" s="195"/>
      <c r="D28" s="197"/>
      <c r="E28" s="194"/>
      <c r="F28" s="196"/>
      <c r="G28" s="194"/>
      <c r="H28" s="194"/>
      <c r="I28" s="194"/>
      <c r="J28" s="194"/>
      <c r="K28" s="189"/>
      <c r="L28" s="189"/>
      <c r="N28" s="624"/>
      <c r="O28" s="624" t="s">
        <v>363</v>
      </c>
    </row>
    <row r="29" spans="1:15" ht="24.75" customHeight="1" x14ac:dyDescent="0.3">
      <c r="A29" s="194"/>
      <c r="B29" s="195" t="s">
        <v>158</v>
      </c>
      <c r="C29" s="195"/>
      <c r="D29" s="197" t="s">
        <v>89</v>
      </c>
      <c r="E29" s="194" t="s">
        <v>431</v>
      </c>
      <c r="F29" s="196"/>
      <c r="G29" s="194"/>
      <c r="H29" s="194"/>
      <c r="I29" s="194"/>
      <c r="J29" s="194"/>
      <c r="K29" s="189"/>
      <c r="L29" s="189"/>
    </row>
    <row r="30" spans="1:15" ht="17.25" x14ac:dyDescent="0.3">
      <c r="A30" s="194"/>
      <c r="B30" s="195"/>
      <c r="C30" s="195"/>
      <c r="D30" s="197"/>
      <c r="E30" s="194"/>
      <c r="F30" s="196"/>
      <c r="G30" s="194"/>
      <c r="H30" s="194"/>
      <c r="I30" s="194"/>
      <c r="J30" s="194"/>
      <c r="K30" s="189"/>
      <c r="L30" s="189"/>
    </row>
    <row r="31" spans="1:15" ht="15" customHeight="1" x14ac:dyDescent="0.3">
      <c r="A31" s="194"/>
      <c r="B31" s="195" t="s">
        <v>159</v>
      </c>
      <c r="C31" s="195"/>
      <c r="D31" s="197" t="s">
        <v>89</v>
      </c>
      <c r="E31" s="194" t="s">
        <v>165</v>
      </c>
      <c r="F31" s="196"/>
      <c r="G31" s="194"/>
      <c r="H31" s="194"/>
      <c r="I31" s="194"/>
      <c r="J31" s="194"/>
      <c r="K31" s="189"/>
      <c r="L31" s="189"/>
    </row>
    <row r="32" spans="1:15" x14ac:dyDescent="0.25">
      <c r="B32" s="131"/>
      <c r="C32" s="131"/>
      <c r="D32" s="2"/>
    </row>
    <row r="33" spans="2:10" ht="7.5" customHeight="1" x14ac:dyDescent="0.25">
      <c r="B33" s="131"/>
      <c r="C33" s="131"/>
      <c r="D33" s="2"/>
    </row>
    <row r="34" spans="2:10" x14ac:dyDescent="0.25">
      <c r="D34" s="2"/>
    </row>
    <row r="35" spans="2:10" ht="7.5" customHeight="1" x14ac:dyDescent="0.25"/>
    <row r="36" spans="2:10" ht="27" customHeight="1" x14ac:dyDescent="0.25">
      <c r="B36" s="742" t="s">
        <v>160</v>
      </c>
      <c r="C36" s="743"/>
      <c r="D36" s="743"/>
      <c r="E36" s="742" t="s">
        <v>161</v>
      </c>
      <c r="F36" s="743"/>
      <c r="G36" s="743"/>
      <c r="H36" s="743"/>
      <c r="I36" s="743"/>
      <c r="J36" s="744"/>
    </row>
    <row r="37" spans="2:10" ht="18" customHeight="1" x14ac:dyDescent="0.3">
      <c r="B37" s="179" t="s">
        <v>241</v>
      </c>
      <c r="C37" s="180"/>
      <c r="D37" s="180"/>
      <c r="E37" s="181" t="s">
        <v>245</v>
      </c>
      <c r="F37" s="182"/>
      <c r="G37" s="180"/>
      <c r="H37" s="180"/>
      <c r="I37" s="180"/>
      <c r="J37" s="183"/>
    </row>
    <row r="38" spans="2:10" ht="17.25" customHeight="1" x14ac:dyDescent="0.3">
      <c r="B38" s="179"/>
      <c r="C38" s="180"/>
      <c r="D38" s="180"/>
      <c r="E38" s="181" t="s">
        <v>192</v>
      </c>
      <c r="F38" s="182"/>
      <c r="G38" s="180"/>
      <c r="H38" s="180"/>
      <c r="I38" s="180"/>
      <c r="J38" s="183"/>
    </row>
    <row r="39" spans="2:10" ht="3" customHeight="1" x14ac:dyDescent="0.3">
      <c r="B39" s="184"/>
      <c r="C39" s="185"/>
      <c r="D39" s="185"/>
      <c r="E39" s="186"/>
      <c r="F39" s="187"/>
      <c r="G39" s="185"/>
      <c r="H39" s="185"/>
      <c r="I39" s="185"/>
      <c r="J39" s="188"/>
    </row>
    <row r="40" spans="2:10" ht="18.75" customHeight="1" x14ac:dyDescent="0.3">
      <c r="B40" s="179" t="s">
        <v>242</v>
      </c>
      <c r="C40" s="180"/>
      <c r="D40" s="180"/>
      <c r="E40" s="181" t="s">
        <v>246</v>
      </c>
      <c r="F40" s="182"/>
      <c r="G40" s="180"/>
      <c r="H40" s="180"/>
      <c r="I40" s="180"/>
      <c r="J40" s="183"/>
    </row>
    <row r="41" spans="2:10" ht="15" customHeight="1" x14ac:dyDescent="0.3">
      <c r="B41" s="179"/>
      <c r="C41" s="180"/>
      <c r="D41" s="180"/>
      <c r="E41" s="181" t="s">
        <v>247</v>
      </c>
      <c r="F41" s="182"/>
      <c r="G41" s="180"/>
      <c r="H41" s="180"/>
      <c r="I41" s="180"/>
      <c r="J41" s="183"/>
    </row>
    <row r="42" spans="2:10" ht="7.5" customHeight="1" x14ac:dyDescent="0.3">
      <c r="B42" s="184"/>
      <c r="C42" s="185"/>
      <c r="D42" s="185"/>
      <c r="E42" s="186"/>
      <c r="F42" s="187"/>
      <c r="G42" s="185"/>
      <c r="H42" s="185"/>
      <c r="I42" s="185"/>
      <c r="J42" s="188"/>
    </row>
    <row r="43" spans="2:10" ht="18" customHeight="1" x14ac:dyDescent="0.3">
      <c r="B43" s="179" t="s">
        <v>243</v>
      </c>
      <c r="C43" s="180"/>
      <c r="D43" s="180"/>
      <c r="E43" s="181" t="s">
        <v>266</v>
      </c>
      <c r="F43" s="182"/>
      <c r="G43" s="180"/>
      <c r="H43" s="180"/>
      <c r="I43" s="180"/>
      <c r="J43" s="183"/>
    </row>
    <row r="44" spans="2:10" ht="17.25" x14ac:dyDescent="0.3">
      <c r="B44" s="179"/>
      <c r="C44" s="180"/>
      <c r="D44" s="180"/>
      <c r="E44" s="181" t="s">
        <v>267</v>
      </c>
      <c r="F44" s="182"/>
      <c r="G44" s="180"/>
      <c r="H44" s="180"/>
      <c r="I44" s="180"/>
      <c r="J44" s="183"/>
    </row>
    <row r="45" spans="2:10" ht="3" customHeight="1" x14ac:dyDescent="0.3">
      <c r="B45" s="184"/>
      <c r="C45" s="185"/>
      <c r="D45" s="185"/>
      <c r="E45" s="186"/>
      <c r="F45" s="187"/>
      <c r="G45" s="185"/>
      <c r="H45" s="185"/>
      <c r="I45" s="185"/>
      <c r="J45" s="188"/>
    </row>
    <row r="46" spans="2:10" ht="19.5" customHeight="1" x14ac:dyDescent="0.3">
      <c r="B46" s="179" t="s">
        <v>244</v>
      </c>
      <c r="C46" s="180"/>
      <c r="D46" s="180"/>
      <c r="E46" s="181" t="s">
        <v>248</v>
      </c>
      <c r="F46" s="182"/>
      <c r="G46" s="180"/>
      <c r="H46" s="180"/>
      <c r="I46" s="180"/>
      <c r="J46" s="183"/>
    </row>
    <row r="47" spans="2:10" ht="17.25" x14ac:dyDescent="0.3">
      <c r="B47" s="181"/>
      <c r="C47" s="180"/>
      <c r="D47" s="180"/>
      <c r="E47" s="181" t="s">
        <v>1</v>
      </c>
      <c r="F47" s="182"/>
      <c r="G47" s="180"/>
      <c r="H47" s="180"/>
      <c r="I47" s="180"/>
      <c r="J47" s="183"/>
    </row>
    <row r="48" spans="2:10" ht="5.25" customHeight="1" x14ac:dyDescent="0.25">
      <c r="B48" s="4"/>
      <c r="C48" s="5"/>
      <c r="D48" s="5"/>
      <c r="E48" s="4"/>
      <c r="F48" s="176"/>
      <c r="G48" s="5"/>
      <c r="H48" s="5"/>
      <c r="I48" s="5"/>
      <c r="J48" s="6"/>
    </row>
    <row r="50" ht="8.25" customHeight="1" x14ac:dyDescent="0.25"/>
    <row r="52" ht="7.5" customHeight="1" x14ac:dyDescent="0.25"/>
  </sheetData>
  <mergeCells count="7">
    <mergeCell ref="B14:J14"/>
    <mergeCell ref="B36:D36"/>
    <mergeCell ref="E36:J36"/>
    <mergeCell ref="B9:J9"/>
    <mergeCell ref="B11:J11"/>
    <mergeCell ref="B12:J12"/>
    <mergeCell ref="B13:J13"/>
  </mergeCells>
  <phoneticPr fontId="2" type="noConversion"/>
  <printOptions horizontalCentered="1"/>
  <pageMargins left="1.0629921259842521" right="0.31496062992125984" top="0.51181102362204722" bottom="1.3385826771653544" header="0.51181102362204722" footer="0.51181102362204722"/>
  <pageSetup paperSize="5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54"/>
  <sheetViews>
    <sheetView showGridLines="0" view="pageBreakPreview" topLeftCell="A33" workbookViewId="0">
      <selection activeCell="N44" sqref="N44"/>
    </sheetView>
  </sheetViews>
  <sheetFormatPr defaultColWidth="4.42578125" defaultRowHeight="16.5" x14ac:dyDescent="0.2"/>
  <cols>
    <col min="1" max="10" width="3.7109375" style="15" customWidth="1"/>
    <col min="11" max="22" width="4.42578125" style="15"/>
    <col min="23" max="23" width="4" style="15" customWidth="1"/>
    <col min="24" max="27" width="4.42578125" style="15"/>
    <col min="28" max="28" width="9.28515625" style="15" customWidth="1"/>
    <col min="29" max="16384" width="4.42578125" style="15"/>
  </cols>
  <sheetData>
    <row r="1" spans="1:30" ht="21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15</v>
      </c>
      <c r="W2" s="56" t="s">
        <v>40</v>
      </c>
      <c r="X2" s="56" t="s">
        <v>41</v>
      </c>
      <c r="Y2" s="777"/>
      <c r="Z2" s="778"/>
      <c r="AA2" s="779"/>
    </row>
    <row r="3" spans="1:30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0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0" ht="20.25" customHeight="1" x14ac:dyDescent="0.2">
      <c r="A5" s="266" t="s">
        <v>18</v>
      </c>
      <c r="B5" s="558"/>
      <c r="C5" s="558"/>
      <c r="D5" s="558"/>
      <c r="E5" s="558"/>
      <c r="F5" s="558"/>
      <c r="G5" s="14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0" ht="18.75" customHeight="1" x14ac:dyDescent="0.2">
      <c r="A6" s="266" t="s">
        <v>19</v>
      </c>
      <c r="B6" s="119"/>
      <c r="C6" s="119"/>
      <c r="D6" s="119"/>
      <c r="E6" s="119"/>
      <c r="F6" s="119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0" ht="18.75" customHeight="1" x14ac:dyDescent="0.2">
      <c r="A7" s="266" t="s">
        <v>20</v>
      </c>
      <c r="B7" s="119"/>
      <c r="C7" s="119"/>
      <c r="D7" s="119"/>
      <c r="E7" s="119"/>
      <c r="F7" s="119"/>
      <c r="G7" s="14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0" ht="18.75" customHeight="1" x14ac:dyDescent="0.2">
      <c r="A8" s="268" t="s">
        <v>21</v>
      </c>
      <c r="B8" s="120"/>
      <c r="C8" s="120"/>
      <c r="D8" s="120"/>
      <c r="E8" s="120"/>
      <c r="F8" s="120"/>
      <c r="G8" s="14" t="s">
        <v>89</v>
      </c>
      <c r="H8" s="61" t="s">
        <v>328</v>
      </c>
      <c r="I8" s="61"/>
      <c r="J8" s="61"/>
      <c r="K8" s="61" t="s">
        <v>44</v>
      </c>
      <c r="L8" s="61" t="s">
        <v>67</v>
      </c>
      <c r="M8" s="16" t="s">
        <v>205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0" ht="18.75" customHeight="1" x14ac:dyDescent="0.2">
      <c r="A9" s="268" t="s">
        <v>22</v>
      </c>
      <c r="B9" s="120"/>
      <c r="C9" s="120"/>
      <c r="D9" s="120"/>
      <c r="E9" s="120"/>
      <c r="F9" s="120"/>
      <c r="G9" s="14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0" ht="18.75" customHeight="1" x14ac:dyDescent="0.2">
      <c r="A10" s="268" t="s">
        <v>23</v>
      </c>
      <c r="B10" s="120"/>
      <c r="C10" s="120"/>
      <c r="D10" s="120"/>
      <c r="E10" s="120"/>
      <c r="F10" s="120"/>
      <c r="G10" s="14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0" ht="18.75" customHeight="1" x14ac:dyDescent="0.2">
      <c r="A11" s="268" t="s">
        <v>24</v>
      </c>
      <c r="B11" s="120"/>
      <c r="C11" s="120"/>
      <c r="D11" s="120"/>
      <c r="E11" s="120"/>
      <c r="F11" s="120"/>
      <c r="G11" s="14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0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</row>
    <row r="13" spans="1:30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0" ht="18.75" customHeight="1" x14ac:dyDescent="0.2">
      <c r="A14" s="266" t="s">
        <v>14</v>
      </c>
      <c r="B14" s="119"/>
      <c r="C14" s="119"/>
      <c r="D14" s="119"/>
      <c r="E14" s="119"/>
      <c r="F14" s="17"/>
      <c r="G14" s="21" t="s">
        <v>138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</row>
    <row r="15" spans="1:30" ht="18.75" customHeight="1" x14ac:dyDescent="0.2">
      <c r="A15" s="266" t="s">
        <v>15</v>
      </c>
      <c r="B15" s="119"/>
      <c r="C15" s="119"/>
      <c r="D15" s="119"/>
      <c r="E15" s="119"/>
      <c r="F15" s="17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1920000</v>
      </c>
      <c r="Z15" s="892"/>
      <c r="AA15" s="893"/>
      <c r="AD15" s="51"/>
    </row>
    <row r="16" spans="1:30" ht="18.75" customHeight="1" x14ac:dyDescent="0.2">
      <c r="A16" s="266" t="s">
        <v>16</v>
      </c>
      <c r="B16" s="119"/>
      <c r="C16" s="119"/>
      <c r="D16" s="119"/>
      <c r="E16" s="119"/>
      <c r="F16" s="17"/>
      <c r="G16" s="21" t="s">
        <v>139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3" ht="18.75" customHeight="1" x14ac:dyDescent="0.2">
      <c r="A17" s="266" t="s">
        <v>17</v>
      </c>
      <c r="B17" s="119"/>
      <c r="C17" s="119"/>
      <c r="D17" s="119"/>
      <c r="E17" s="119"/>
      <c r="F17" s="17"/>
      <c r="G17" s="21" t="s">
        <v>139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</row>
    <row r="18" spans="1:33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</row>
    <row r="19" spans="1:33" ht="18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3" ht="18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</row>
    <row r="21" spans="1:33" ht="18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3" ht="18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3" ht="18.7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3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67</v>
      </c>
      <c r="F24" s="22" t="s">
        <v>40</v>
      </c>
      <c r="G24" s="22" t="s">
        <v>41</v>
      </c>
      <c r="H24" s="22" t="s">
        <v>41</v>
      </c>
      <c r="I24" s="22"/>
      <c r="J24" s="22"/>
      <c r="K24" s="53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1920000</v>
      </c>
      <c r="Z24" s="918"/>
      <c r="AA24" s="948"/>
    </row>
    <row r="25" spans="1:33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67</v>
      </c>
      <c r="F25" s="81" t="s">
        <v>40</v>
      </c>
      <c r="G25" s="81" t="s">
        <v>41</v>
      </c>
      <c r="H25" s="81" t="s">
        <v>41</v>
      </c>
      <c r="I25" s="82" t="s">
        <v>42</v>
      </c>
      <c r="J25" s="82"/>
      <c r="K25" s="79" t="s">
        <v>37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1920000</v>
      </c>
      <c r="Z25" s="918"/>
      <c r="AA25" s="948"/>
      <c r="AE25" s="48"/>
    </row>
    <row r="26" spans="1:33" ht="18.75" customHeight="1" x14ac:dyDescent="0.2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67</v>
      </c>
      <c r="F26" s="25" t="s">
        <v>40</v>
      </c>
      <c r="G26" s="25" t="s">
        <v>41</v>
      </c>
      <c r="H26" s="25" t="s">
        <v>41</v>
      </c>
      <c r="I26" s="25" t="s">
        <v>42</v>
      </c>
      <c r="J26" s="25" t="s">
        <v>43</v>
      </c>
      <c r="K26" s="24" t="s">
        <v>38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SUM(Y27:AA28)</f>
        <v>1920000</v>
      </c>
      <c r="Z26" s="871"/>
      <c r="AA26" s="930"/>
      <c r="AD26" s="48"/>
    </row>
    <row r="27" spans="1:33" ht="18.75" customHeight="1" x14ac:dyDescent="0.3">
      <c r="A27" s="273"/>
      <c r="B27" s="74"/>
      <c r="C27" s="74"/>
      <c r="D27" s="74"/>
      <c r="E27" s="74"/>
      <c r="F27" s="25"/>
      <c r="G27" s="25"/>
      <c r="H27" s="25"/>
      <c r="I27" s="25"/>
      <c r="J27" s="25"/>
      <c r="K27" s="55" t="s">
        <v>314</v>
      </c>
      <c r="L27" s="60"/>
      <c r="M27" s="60"/>
      <c r="N27" s="60"/>
      <c r="O27" s="60"/>
      <c r="P27" s="60"/>
      <c r="Q27" s="60"/>
      <c r="R27" s="1131">
        <v>12</v>
      </c>
      <c r="S27" s="1132"/>
      <c r="T27" s="1131" t="s">
        <v>206</v>
      </c>
      <c r="U27" s="1132"/>
      <c r="V27" s="1133">
        <v>90000</v>
      </c>
      <c r="W27" s="1134"/>
      <c r="X27" s="1135"/>
      <c r="Y27" s="870">
        <f>V27*R27</f>
        <v>1080000</v>
      </c>
      <c r="Z27" s="871"/>
      <c r="AA27" s="930"/>
      <c r="AB27" s="136" t="s">
        <v>259</v>
      </c>
      <c r="AC27" s="137"/>
      <c r="AD27" s="48"/>
      <c r="AE27" s="48"/>
      <c r="AF27" s="48"/>
      <c r="AG27" s="48"/>
    </row>
    <row r="28" spans="1:33" ht="18.75" customHeight="1" x14ac:dyDescent="0.3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55" t="s">
        <v>291</v>
      </c>
      <c r="L28" s="60"/>
      <c r="M28" s="60"/>
      <c r="N28" s="60"/>
      <c r="O28" s="60"/>
      <c r="P28" s="60"/>
      <c r="Q28" s="60"/>
      <c r="R28" s="1129">
        <v>12</v>
      </c>
      <c r="S28" s="1130"/>
      <c r="T28" s="1129" t="s">
        <v>206</v>
      </c>
      <c r="U28" s="1130"/>
      <c r="V28" s="1126">
        <v>70000</v>
      </c>
      <c r="W28" s="1127"/>
      <c r="X28" s="1128"/>
      <c r="Y28" s="870">
        <f>V28*R28</f>
        <v>840000</v>
      </c>
      <c r="Z28" s="871"/>
      <c r="AA28" s="930"/>
      <c r="AD28" s="48"/>
      <c r="AE28" s="48"/>
      <c r="AF28" s="48"/>
      <c r="AG28" s="48"/>
    </row>
    <row r="29" spans="1:33" ht="18.75" customHeight="1" x14ac:dyDescent="0.2">
      <c r="A29" s="300"/>
      <c r="B29" s="71"/>
      <c r="C29" s="71"/>
      <c r="D29" s="71"/>
      <c r="E29" s="71"/>
      <c r="F29" s="71"/>
      <c r="G29" s="71"/>
      <c r="H29" s="71"/>
      <c r="I29" s="71"/>
      <c r="J29" s="71"/>
      <c r="K29" s="32"/>
      <c r="L29" s="32"/>
      <c r="M29" s="32"/>
      <c r="N29" s="32"/>
      <c r="O29" s="32"/>
      <c r="P29" s="32"/>
      <c r="Q29" s="32"/>
      <c r="R29" s="1120"/>
      <c r="S29" s="1120"/>
      <c r="T29" s="1119"/>
      <c r="U29" s="1119"/>
      <c r="V29" s="1112" t="s">
        <v>28</v>
      </c>
      <c r="W29" s="1112"/>
      <c r="X29" s="1113"/>
      <c r="Y29" s="886">
        <f>SUM(Y27:AA28)</f>
        <v>1920000</v>
      </c>
      <c r="Z29" s="887"/>
      <c r="AA29" s="949"/>
      <c r="AD29" s="800">
        <f>Y29/4</f>
        <v>480000</v>
      </c>
      <c r="AE29" s="800"/>
      <c r="AF29" s="800"/>
      <c r="AG29" s="800"/>
    </row>
    <row r="30" spans="1:33" ht="18.75" customHeight="1" x14ac:dyDescent="0.2">
      <c r="A30" s="277"/>
      <c r="B30" s="16" t="s">
        <v>306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67"/>
      <c r="AD30" s="48"/>
    </row>
    <row r="31" spans="1:33" ht="18.75" customHeight="1" x14ac:dyDescent="0.2">
      <c r="A31" s="278"/>
      <c r="B31" s="13"/>
      <c r="C31" s="27"/>
      <c r="D31" s="13"/>
      <c r="E31" s="13"/>
      <c r="F31" s="13"/>
      <c r="G31" s="13"/>
      <c r="H31" s="27"/>
      <c r="I31" s="13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620" t="str">
        <f>'alat kbersihan'!U49</f>
        <v>CAMAT SUKOHARJO</v>
      </c>
      <c r="V31" s="13"/>
      <c r="W31" s="13"/>
      <c r="X31" s="35"/>
      <c r="Y31" s="13"/>
      <c r="Z31" s="13"/>
      <c r="AA31" s="279"/>
    </row>
    <row r="32" spans="1:33" ht="18.75" customHeight="1" x14ac:dyDescent="0.2">
      <c r="A32" s="278"/>
      <c r="B32" s="13" t="s">
        <v>29</v>
      </c>
      <c r="C32" s="27"/>
      <c r="D32" s="13"/>
      <c r="E32" s="13"/>
      <c r="F32" s="40" t="s">
        <v>89</v>
      </c>
      <c r="G32" s="878">
        <f>AD29</f>
        <v>480000</v>
      </c>
      <c r="H32" s="878"/>
      <c r="I32" s="878"/>
      <c r="J32" s="878"/>
      <c r="K32" s="13"/>
      <c r="L32" s="13"/>
      <c r="M32" s="13"/>
      <c r="N32" s="13"/>
      <c r="O32" s="28"/>
      <c r="P32" s="28"/>
      <c r="Q32" s="28"/>
      <c r="R32" s="28"/>
      <c r="S32" s="28"/>
      <c r="T32" s="28"/>
      <c r="U32" s="620"/>
      <c r="V32" s="13"/>
      <c r="W32" s="35"/>
      <c r="X32" s="13"/>
      <c r="Y32" s="13"/>
      <c r="Z32" s="13"/>
      <c r="AA32" s="279"/>
    </row>
    <row r="33" spans="1:38" ht="18.75" customHeight="1" x14ac:dyDescent="0.2">
      <c r="A33" s="278"/>
      <c r="B33" s="13" t="s">
        <v>30</v>
      </c>
      <c r="C33" s="27"/>
      <c r="D33" s="13"/>
      <c r="E33" s="13"/>
      <c r="F33" s="40" t="s">
        <v>89</v>
      </c>
      <c r="G33" s="878">
        <f>AD29</f>
        <v>480000</v>
      </c>
      <c r="H33" s="878"/>
      <c r="I33" s="878"/>
      <c r="J33" s="878"/>
      <c r="K33" s="13"/>
      <c r="L33" s="13"/>
      <c r="M33" s="13"/>
      <c r="N33" s="13"/>
      <c r="O33" s="28"/>
      <c r="P33" s="28"/>
      <c r="Q33" s="28"/>
      <c r="R33" s="28"/>
      <c r="S33" s="28"/>
      <c r="T33" s="28"/>
      <c r="U33" s="620"/>
      <c r="V33" s="13"/>
      <c r="W33" s="35"/>
      <c r="X33" s="13"/>
      <c r="Y33" s="13"/>
      <c r="Z33" s="13"/>
      <c r="AA33" s="279"/>
    </row>
    <row r="34" spans="1:38" ht="18.75" customHeight="1" x14ac:dyDescent="0.2">
      <c r="A34" s="278"/>
      <c r="B34" s="13" t="s">
        <v>31</v>
      </c>
      <c r="C34" s="27"/>
      <c r="D34" s="13"/>
      <c r="E34" s="13"/>
      <c r="F34" s="40" t="s">
        <v>89</v>
      </c>
      <c r="G34" s="878">
        <f>AD29</f>
        <v>480000</v>
      </c>
      <c r="H34" s="878"/>
      <c r="I34" s="878"/>
      <c r="J34" s="878"/>
      <c r="K34" s="13"/>
      <c r="L34" s="13"/>
      <c r="M34" s="13"/>
      <c r="N34" s="13"/>
      <c r="O34" s="28"/>
      <c r="P34" s="28"/>
      <c r="Q34" s="28"/>
      <c r="R34" s="28"/>
      <c r="S34" s="28"/>
      <c r="T34" s="28"/>
      <c r="U34" s="620"/>
      <c r="V34" s="13"/>
      <c r="W34" s="35"/>
      <c r="X34" s="13"/>
      <c r="Y34" s="13"/>
      <c r="Z34" s="13"/>
      <c r="AA34" s="279"/>
    </row>
    <row r="35" spans="1:38" ht="18.75" customHeight="1" x14ac:dyDescent="0.2">
      <c r="A35" s="278"/>
      <c r="B35" s="13" t="s">
        <v>32</v>
      </c>
      <c r="C35" s="30"/>
      <c r="D35" s="29"/>
      <c r="E35" s="13"/>
      <c r="F35" s="40" t="s">
        <v>89</v>
      </c>
      <c r="G35" s="878">
        <f>AD29</f>
        <v>480000</v>
      </c>
      <c r="H35" s="878"/>
      <c r="I35" s="878"/>
      <c r="J35" s="878"/>
      <c r="K35" s="13"/>
      <c r="L35" s="13"/>
      <c r="M35" s="13"/>
      <c r="N35" s="13"/>
      <c r="O35" s="31"/>
      <c r="P35" s="31"/>
      <c r="Q35" s="31"/>
      <c r="R35" s="31"/>
      <c r="S35" s="31"/>
      <c r="T35" s="31"/>
      <c r="U35" s="52" t="str">
        <f>'alat kbersihan'!U53</f>
        <v>DUDI WARDOYO, AP, M.M</v>
      </c>
      <c r="V35" s="13"/>
      <c r="W35" s="52"/>
      <c r="X35" s="13"/>
      <c r="Y35" s="13"/>
      <c r="Z35" s="13"/>
      <c r="AA35" s="279"/>
    </row>
    <row r="36" spans="1:38" ht="15.75" customHeight="1" thickBot="1" x14ac:dyDescent="0.25">
      <c r="A36" s="278"/>
      <c r="B36" s="13"/>
      <c r="C36" s="13"/>
      <c r="D36" s="62" t="s">
        <v>28</v>
      </c>
      <c r="E36" s="13"/>
      <c r="F36" s="40" t="s">
        <v>89</v>
      </c>
      <c r="G36" s="877">
        <f>SUM(G32:J35)</f>
        <v>1920000</v>
      </c>
      <c r="H36" s="877"/>
      <c r="I36" s="877"/>
      <c r="J36" s="87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20" t="str">
        <f>'alat kbersihan'!U54</f>
        <v>Pembina Tk. I</v>
      </c>
      <c r="V36" s="13"/>
      <c r="W36" s="35"/>
      <c r="X36" s="13"/>
      <c r="Y36" s="34"/>
      <c r="Z36" s="34"/>
      <c r="AA36" s="280"/>
    </row>
    <row r="37" spans="1:38" ht="12.75" customHeight="1" thickTop="1" x14ac:dyDescent="0.2">
      <c r="A37" s="28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620" t="str">
        <f>'alat kbersihan'!U55</f>
        <v>NIP. 19741009 199311 1 001</v>
      </c>
      <c r="V37" s="10"/>
      <c r="W37" s="35"/>
      <c r="X37" s="10"/>
      <c r="Y37" s="10"/>
      <c r="Z37" s="10"/>
      <c r="AA37" s="282"/>
    </row>
    <row r="38" spans="1:38" s="138" customFormat="1" ht="18.75" customHeight="1" x14ac:dyDescent="0.2">
      <c r="A38" s="865" t="s">
        <v>194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519"/>
      <c r="T38" s="520"/>
      <c r="U38" s="520"/>
      <c r="V38" s="520"/>
      <c r="W38" s="520"/>
      <c r="X38" s="520"/>
      <c r="Y38" s="520"/>
      <c r="Z38" s="520"/>
      <c r="AA38" s="521"/>
      <c r="AD38" s="136"/>
      <c r="AG38" s="136"/>
      <c r="AI38" s="136"/>
      <c r="AL38" s="136"/>
    </row>
    <row r="39" spans="1:38" s="138" customFormat="1" ht="1.5" customHeight="1" x14ac:dyDescent="0.2">
      <c r="A39" s="382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516"/>
      <c r="T39" s="151"/>
      <c r="U39" s="151"/>
      <c r="V39" s="151"/>
      <c r="W39" s="151"/>
      <c r="X39" s="151"/>
      <c r="Y39" s="151"/>
      <c r="Z39" s="151"/>
      <c r="AA39" s="518"/>
      <c r="AD39" s="136"/>
      <c r="AG39" s="136"/>
      <c r="AI39" s="136"/>
      <c r="AL39" s="136"/>
    </row>
    <row r="40" spans="1:38" ht="13.5" customHeight="1" x14ac:dyDescent="0.2">
      <c r="A40" s="27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2"/>
      <c r="T40" s="13"/>
      <c r="U40" s="13"/>
      <c r="V40" s="13"/>
      <c r="W40" s="35" t="str">
        <f>'alat kbersihan'!W58</f>
        <v>Wonosobo,        Januari 2019</v>
      </c>
      <c r="X40" s="13"/>
      <c r="Y40" s="13"/>
      <c r="Z40" s="13"/>
      <c r="AA40" s="279"/>
    </row>
    <row r="41" spans="1:38" ht="3" customHeight="1" x14ac:dyDescent="0.2">
      <c r="A41" s="27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2"/>
      <c r="T41" s="13"/>
      <c r="U41" s="13"/>
      <c r="V41" s="13"/>
      <c r="W41" s="35"/>
      <c r="X41" s="13"/>
      <c r="Y41" s="13"/>
      <c r="Z41" s="13"/>
      <c r="AA41" s="279"/>
    </row>
    <row r="42" spans="1:38" ht="18.75" customHeight="1" x14ac:dyDescent="0.2">
      <c r="A42" s="283"/>
      <c r="B42" s="26" t="s">
        <v>34</v>
      </c>
      <c r="C42" s="13" t="str">
        <f>'alat kbersihan'!C60</f>
        <v>RIDWAN SETIA N, S.Kom</v>
      </c>
      <c r="D42" s="13"/>
      <c r="E42" s="13"/>
      <c r="F42" s="47"/>
      <c r="G42" s="47"/>
      <c r="H42" s="47"/>
      <c r="K42" s="64" t="s">
        <v>34</v>
      </c>
      <c r="L42" s="47" t="s">
        <v>196</v>
      </c>
      <c r="M42" s="47"/>
      <c r="N42" s="47"/>
      <c r="O42" s="13"/>
      <c r="P42" s="13"/>
      <c r="Q42" s="13"/>
      <c r="R42" s="47"/>
      <c r="S42" s="522"/>
      <c r="T42" s="47"/>
      <c r="U42" s="13"/>
      <c r="V42" s="13"/>
      <c r="W42" s="35" t="s">
        <v>33</v>
      </c>
      <c r="X42" s="13"/>
      <c r="Y42" s="13"/>
      <c r="Z42" s="13"/>
      <c r="AA42" s="279"/>
    </row>
    <row r="43" spans="1:38" ht="18.75" customHeight="1" x14ac:dyDescent="0.2">
      <c r="A43" s="283"/>
      <c r="B43" s="26"/>
      <c r="C43" s="13"/>
      <c r="D43" s="13"/>
      <c r="E43" s="13"/>
      <c r="F43" s="13"/>
      <c r="G43" s="13"/>
      <c r="H43" s="13"/>
      <c r="K43" s="13"/>
      <c r="L43" s="13"/>
      <c r="M43" s="13"/>
      <c r="N43" s="13"/>
      <c r="O43" s="13"/>
      <c r="P43" s="13"/>
      <c r="Q43" s="13"/>
      <c r="R43" s="13"/>
      <c r="S43" s="12"/>
      <c r="T43" s="13"/>
      <c r="U43" s="13"/>
      <c r="V43" s="13"/>
      <c r="W43" s="35" t="s">
        <v>85</v>
      </c>
      <c r="X43" s="13"/>
      <c r="Y43" s="13"/>
      <c r="Z43" s="13"/>
      <c r="AA43" s="279"/>
    </row>
    <row r="44" spans="1:38" ht="18.75" customHeight="1" x14ac:dyDescent="0.2">
      <c r="A44" s="283"/>
      <c r="E44" s="13"/>
      <c r="F44" s="47"/>
      <c r="G44" s="47"/>
      <c r="H44" s="47"/>
      <c r="K44" s="47"/>
      <c r="L44" s="47"/>
      <c r="O44" s="13"/>
      <c r="P44" s="13"/>
      <c r="Q44" s="13"/>
      <c r="R44" s="47"/>
      <c r="S44" s="522"/>
      <c r="T44" s="47"/>
      <c r="U44" s="13"/>
      <c r="V44" s="13"/>
      <c r="W44" s="65"/>
      <c r="X44" s="13"/>
      <c r="Y44" s="13"/>
      <c r="Z44" s="13"/>
      <c r="AA44" s="279"/>
    </row>
    <row r="45" spans="1:38" ht="18.75" customHeight="1" x14ac:dyDescent="0.2">
      <c r="A45" s="278"/>
      <c r="B45" s="26" t="s">
        <v>35</v>
      </c>
      <c r="C45" s="13" t="str">
        <f>'alat kbersihan'!C63</f>
        <v>SABAR KHOIRI</v>
      </c>
      <c r="D45" s="13"/>
      <c r="E45" s="44"/>
      <c r="F45" s="44"/>
      <c r="G45" s="44"/>
      <c r="H45" s="44"/>
      <c r="K45" s="64" t="s">
        <v>35</v>
      </c>
      <c r="L45" s="47" t="s">
        <v>196</v>
      </c>
      <c r="M45" s="44"/>
      <c r="N45" s="44"/>
      <c r="O45" s="13"/>
      <c r="P45" s="13"/>
      <c r="Q45" s="13"/>
      <c r="R45" s="44"/>
      <c r="S45" s="46"/>
      <c r="T45" s="44"/>
      <c r="U45" s="44"/>
      <c r="V45" s="44"/>
      <c r="W45" s="35"/>
      <c r="X45" s="44"/>
      <c r="Y45" s="44"/>
      <c r="Z45" s="44"/>
      <c r="AA45" s="284"/>
    </row>
    <row r="46" spans="1:38" s="33" customFormat="1" ht="18.75" customHeight="1" x14ac:dyDescent="0.2">
      <c r="A46" s="285"/>
      <c r="B46" s="26"/>
      <c r="C46" s="13"/>
      <c r="D46" s="13"/>
      <c r="E46" s="13"/>
      <c r="F46" s="35"/>
      <c r="G46" s="35"/>
      <c r="H46" s="35"/>
      <c r="K46" s="64"/>
      <c r="L46" s="47"/>
      <c r="M46" s="35"/>
      <c r="N46" s="35"/>
      <c r="O46" s="35"/>
      <c r="P46" s="35"/>
      <c r="Q46" s="35"/>
      <c r="R46" s="35"/>
      <c r="S46" s="36"/>
      <c r="T46" s="35"/>
      <c r="U46" s="66"/>
      <c r="V46" s="66"/>
      <c r="W46" s="52" t="str">
        <f>'alat kbersihan'!W64</f>
        <v>Drs. M. KRISTIJADI, M.Si</v>
      </c>
      <c r="X46" s="66"/>
      <c r="Y46" s="66"/>
      <c r="Z46" s="13"/>
      <c r="AA46" s="279"/>
    </row>
    <row r="47" spans="1:38" s="33" customFormat="1" ht="13.5" customHeight="1" x14ac:dyDescent="0.2">
      <c r="A47" s="285"/>
      <c r="B47" s="26"/>
      <c r="C47" s="13"/>
      <c r="D47" s="13"/>
      <c r="E47" s="13"/>
      <c r="F47" s="35"/>
      <c r="G47" s="35"/>
      <c r="H47" s="35"/>
      <c r="I47" s="64"/>
      <c r="J47" s="47"/>
      <c r="K47" s="35"/>
      <c r="L47" s="35"/>
      <c r="M47" s="35"/>
      <c r="N47" s="35"/>
      <c r="O47" s="35"/>
      <c r="P47" s="35"/>
      <c r="Q47" s="35"/>
      <c r="R47" s="35"/>
      <c r="S47" s="36"/>
      <c r="T47" s="35"/>
      <c r="U47" s="66"/>
      <c r="V47" s="66"/>
      <c r="W47" s="35" t="str">
        <f>'alat kbersihan'!W65</f>
        <v>Pembina Utama Muda</v>
      </c>
      <c r="X47" s="66"/>
      <c r="Y47" s="66"/>
      <c r="Z47" s="13"/>
      <c r="AA47" s="279"/>
    </row>
    <row r="48" spans="1:38" s="33" customFormat="1" ht="18.75" customHeight="1" x14ac:dyDescent="0.2">
      <c r="A48" s="285"/>
      <c r="B48" s="35"/>
      <c r="C48" s="35"/>
      <c r="D48" s="35"/>
      <c r="E48" s="35"/>
      <c r="F48" s="35"/>
      <c r="G48" s="26"/>
      <c r="H48" s="13"/>
      <c r="I48" s="13"/>
      <c r="J48" s="13"/>
      <c r="K48" s="35"/>
      <c r="L48" s="35"/>
      <c r="M48" s="35"/>
      <c r="N48" s="64"/>
      <c r="O48" s="47"/>
      <c r="P48" s="35"/>
      <c r="Q48" s="35"/>
      <c r="R48" s="35"/>
      <c r="S48" s="36"/>
      <c r="T48" s="35"/>
      <c r="U48" s="66"/>
      <c r="V48" s="66"/>
      <c r="W48" s="35" t="str">
        <f>'alat kbersihan'!W66</f>
        <v>NIP. 19681226 199403 1 005</v>
      </c>
      <c r="X48" s="66"/>
      <c r="Y48" s="66"/>
      <c r="Z48" s="13"/>
      <c r="AA48" s="279"/>
    </row>
    <row r="49" spans="1:27" ht="8.25" customHeight="1" thickBot="1" x14ac:dyDescent="0.25">
      <c r="A49" s="286"/>
      <c r="B49" s="287"/>
      <c r="C49" s="287"/>
      <c r="D49" s="287"/>
      <c r="E49" s="287"/>
      <c r="F49" s="287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524"/>
      <c r="T49" s="288"/>
      <c r="U49" s="288"/>
      <c r="V49" s="288"/>
      <c r="W49" s="289"/>
      <c r="X49" s="288"/>
      <c r="Y49" s="288"/>
      <c r="Z49" s="288"/>
      <c r="AA49" s="290"/>
    </row>
    <row r="50" spans="1:27" ht="17.2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</sheetData>
  <mergeCells count="61">
    <mergeCell ref="G36:J36"/>
    <mergeCell ref="G35:J35"/>
    <mergeCell ref="G34:J34"/>
    <mergeCell ref="R29:S29"/>
    <mergeCell ref="G33:J33"/>
    <mergeCell ref="G32:J32"/>
    <mergeCell ref="M5:AA5"/>
    <mergeCell ref="R27:S27"/>
    <mergeCell ref="Y27:AA27"/>
    <mergeCell ref="Y25:AA25"/>
    <mergeCell ref="Y24:AA24"/>
    <mergeCell ref="V25:X25"/>
    <mergeCell ref="V27:X27"/>
    <mergeCell ref="V26:X26"/>
    <mergeCell ref="A12:AA12"/>
    <mergeCell ref="A21:J22"/>
    <mergeCell ref="T22:U22"/>
    <mergeCell ref="G13:X13"/>
    <mergeCell ref="A13:F13"/>
    <mergeCell ref="T26:U26"/>
    <mergeCell ref="Y14:AA14"/>
    <mergeCell ref="Y13:AA13"/>
    <mergeCell ref="A38:R38"/>
    <mergeCell ref="A1:Q1"/>
    <mergeCell ref="A2:Q2"/>
    <mergeCell ref="A4:AA4"/>
    <mergeCell ref="A3:AA3"/>
    <mergeCell ref="Y1:AA2"/>
    <mergeCell ref="R1:X1"/>
    <mergeCell ref="T24:U24"/>
    <mergeCell ref="K23:Q23"/>
    <mergeCell ref="R21:X21"/>
    <mergeCell ref="Y16:AA16"/>
    <mergeCell ref="Y15:AA15"/>
    <mergeCell ref="R22:S22"/>
    <mergeCell ref="T27:U27"/>
    <mergeCell ref="R28:S28"/>
    <mergeCell ref="Y23:AA23"/>
    <mergeCell ref="Y17:AA17"/>
    <mergeCell ref="Y29:AA29"/>
    <mergeCell ref="R26:S26"/>
    <mergeCell ref="R25:S25"/>
    <mergeCell ref="V29:X29"/>
    <mergeCell ref="V28:X28"/>
    <mergeCell ref="T28:U28"/>
    <mergeCell ref="Y28:AA28"/>
    <mergeCell ref="Y26:AA26"/>
    <mergeCell ref="V23:X23"/>
    <mergeCell ref="V22:X22"/>
    <mergeCell ref="AD29:AG29"/>
    <mergeCell ref="Y21:AA22"/>
    <mergeCell ref="A19:AA19"/>
    <mergeCell ref="A20:AA20"/>
    <mergeCell ref="A23:J23"/>
    <mergeCell ref="R23:S23"/>
    <mergeCell ref="T23:U23"/>
    <mergeCell ref="V24:X24"/>
    <mergeCell ref="T25:U25"/>
    <mergeCell ref="R24:S24"/>
    <mergeCell ref="T29:U29"/>
    <mergeCell ref="K21:Q22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54"/>
  <sheetViews>
    <sheetView showGridLines="0" view="pageBreakPreview" topLeftCell="A46" workbookViewId="0">
      <selection activeCell="AD35" sqref="AD35"/>
    </sheetView>
  </sheetViews>
  <sheetFormatPr defaultColWidth="4.42578125" defaultRowHeight="16.5" x14ac:dyDescent="0.2"/>
  <cols>
    <col min="1" max="10" width="3.7109375" style="15" customWidth="1"/>
    <col min="11" max="22" width="4.42578125" style="15"/>
    <col min="23" max="23" width="4" style="15" customWidth="1"/>
    <col min="24" max="28" width="4.42578125" style="15"/>
    <col min="29" max="32" width="10" style="15" bestFit="1" customWidth="1"/>
    <col min="33" max="33" width="8.5703125" style="15" bestFit="1" customWidth="1"/>
    <col min="34" max="16384" width="4.42578125" style="15"/>
  </cols>
  <sheetData>
    <row r="1" spans="1:27" ht="21.7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27" ht="23.2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17</v>
      </c>
      <c r="W2" s="56" t="s">
        <v>40</v>
      </c>
      <c r="X2" s="56" t="s">
        <v>41</v>
      </c>
      <c r="Y2" s="777"/>
      <c r="Z2" s="778"/>
      <c r="AA2" s="779"/>
    </row>
    <row r="3" spans="1:27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27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27" ht="20.25" customHeight="1" x14ac:dyDescent="0.2">
      <c r="A5" s="266" t="s">
        <v>18</v>
      </c>
      <c r="B5" s="558"/>
      <c r="C5" s="558"/>
      <c r="D5" s="558"/>
      <c r="E5" s="558"/>
      <c r="F5" s="558"/>
      <c r="G5" s="14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27" ht="18.75" customHeight="1" x14ac:dyDescent="0.2">
      <c r="A6" s="266" t="s">
        <v>19</v>
      </c>
      <c r="B6" s="119"/>
      <c r="C6" s="119"/>
      <c r="D6" s="119"/>
      <c r="E6" s="119"/>
      <c r="F6" s="16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27" ht="18.75" customHeight="1" x14ac:dyDescent="0.2">
      <c r="A7" s="266" t="s">
        <v>20</v>
      </c>
      <c r="B7" s="119"/>
      <c r="C7" s="119"/>
      <c r="D7" s="119"/>
      <c r="E7" s="119"/>
      <c r="F7" s="16"/>
      <c r="G7" s="14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27" ht="18.75" customHeight="1" x14ac:dyDescent="0.2">
      <c r="A8" s="268" t="s">
        <v>21</v>
      </c>
      <c r="B8" s="120"/>
      <c r="C8" s="120"/>
      <c r="D8" s="120"/>
      <c r="E8" s="120"/>
      <c r="F8" s="16"/>
      <c r="G8" s="14" t="s">
        <v>89</v>
      </c>
      <c r="H8" s="61" t="s">
        <v>328</v>
      </c>
      <c r="I8" s="61"/>
      <c r="J8" s="61"/>
      <c r="K8" s="61" t="s">
        <v>44</v>
      </c>
      <c r="L8" s="61" t="s">
        <v>95</v>
      </c>
      <c r="M8" s="16" t="s">
        <v>105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27" ht="18.75" customHeight="1" x14ac:dyDescent="0.2">
      <c r="A9" s="268" t="s">
        <v>22</v>
      </c>
      <c r="B9" s="120"/>
      <c r="C9" s="120"/>
      <c r="D9" s="120"/>
      <c r="E9" s="120"/>
      <c r="F9" s="16"/>
      <c r="G9" s="14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27" ht="18.75" customHeight="1" x14ac:dyDescent="0.2">
      <c r="A10" s="268" t="s">
        <v>23</v>
      </c>
      <c r="B10" s="120"/>
      <c r="C10" s="120"/>
      <c r="D10" s="120"/>
      <c r="E10" s="120"/>
      <c r="F10" s="16"/>
      <c r="G10" s="14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27" ht="18.75" customHeight="1" x14ac:dyDescent="0.2">
      <c r="A11" s="268" t="s">
        <v>24</v>
      </c>
      <c r="B11" s="120"/>
      <c r="C11" s="120"/>
      <c r="D11" s="120"/>
      <c r="E11" s="120"/>
      <c r="F11" s="16"/>
      <c r="G11" s="14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27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</row>
    <row r="13" spans="1:27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27" ht="18.75" customHeight="1" x14ac:dyDescent="0.2">
      <c r="A14" s="266" t="s">
        <v>14</v>
      </c>
      <c r="B14" s="119"/>
      <c r="C14" s="119"/>
      <c r="D14" s="119"/>
      <c r="E14" s="16"/>
      <c r="F14" s="17"/>
      <c r="G14" s="21" t="s">
        <v>140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</row>
    <row r="15" spans="1:27" ht="18.75" customHeight="1" x14ac:dyDescent="0.2">
      <c r="A15" s="266" t="s">
        <v>15</v>
      </c>
      <c r="B15" s="119"/>
      <c r="C15" s="119"/>
      <c r="D15" s="119"/>
      <c r="E15" s="16"/>
      <c r="F15" s="17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10200000</v>
      </c>
      <c r="Z15" s="892"/>
      <c r="AA15" s="893"/>
    </row>
    <row r="16" spans="1:27" ht="18.75" customHeight="1" x14ac:dyDescent="0.2">
      <c r="A16" s="266" t="s">
        <v>16</v>
      </c>
      <c r="B16" s="119"/>
      <c r="C16" s="119"/>
      <c r="D16" s="119"/>
      <c r="E16" s="16"/>
      <c r="F16" s="17"/>
      <c r="G16" s="21" t="s">
        <v>141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3" ht="18.75" customHeight="1" x14ac:dyDescent="0.2">
      <c r="A17" s="266" t="s">
        <v>17</v>
      </c>
      <c r="B17" s="119"/>
      <c r="C17" s="119"/>
      <c r="D17" s="119"/>
      <c r="E17" s="16"/>
      <c r="F17" s="17"/>
      <c r="G17" s="21" t="s">
        <v>141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</row>
    <row r="18" spans="1:33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</row>
    <row r="19" spans="1:33" ht="18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3" ht="18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</row>
    <row r="21" spans="1:33" ht="18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3" ht="18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3" ht="18.7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3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95</v>
      </c>
      <c r="F24" s="83" t="s">
        <v>40</v>
      </c>
      <c r="G24" s="83" t="s">
        <v>41</v>
      </c>
      <c r="H24" s="83" t="s">
        <v>41</v>
      </c>
      <c r="I24" s="83"/>
      <c r="J24" s="83"/>
      <c r="K24" s="84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10200000</v>
      </c>
      <c r="Z24" s="918"/>
      <c r="AA24" s="948"/>
    </row>
    <row r="25" spans="1:33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95</v>
      </c>
      <c r="F25" s="23" t="s">
        <v>40</v>
      </c>
      <c r="G25" s="23" t="s">
        <v>41</v>
      </c>
      <c r="H25" s="23" t="s">
        <v>41</v>
      </c>
      <c r="I25" s="23" t="s">
        <v>64</v>
      </c>
      <c r="J25" s="23"/>
      <c r="K25" s="54" t="s">
        <v>65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10200000</v>
      </c>
      <c r="Z25" s="918"/>
      <c r="AA25" s="948"/>
    </row>
    <row r="26" spans="1:33" ht="18.75" customHeight="1" x14ac:dyDescent="0.2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95</v>
      </c>
      <c r="F26" s="25" t="s">
        <v>40</v>
      </c>
      <c r="G26" s="25" t="s">
        <v>41</v>
      </c>
      <c r="H26" s="25" t="s">
        <v>41</v>
      </c>
      <c r="I26" s="25" t="s">
        <v>64</v>
      </c>
      <c r="J26" s="25" t="s">
        <v>50</v>
      </c>
      <c r="K26" s="24" t="s">
        <v>66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SUM(Y27:AA28)</f>
        <v>10200000</v>
      </c>
      <c r="Z26" s="871"/>
      <c r="AA26" s="930"/>
      <c r="AC26" s="48"/>
      <c r="AD26" s="48"/>
      <c r="AE26" s="48"/>
      <c r="AF26" s="48"/>
    </row>
    <row r="27" spans="1:33" ht="18.75" customHeight="1" x14ac:dyDescent="0.3">
      <c r="A27" s="273"/>
      <c r="B27" s="74"/>
      <c r="C27" s="74"/>
      <c r="D27" s="74"/>
      <c r="E27" s="74"/>
      <c r="F27" s="25"/>
      <c r="G27" s="25"/>
      <c r="H27" s="25"/>
      <c r="I27" s="25"/>
      <c r="J27" s="25"/>
      <c r="K27" s="55" t="s">
        <v>185</v>
      </c>
      <c r="L27" s="60"/>
      <c r="M27" s="57"/>
      <c r="N27" s="60"/>
      <c r="O27" s="57" t="s">
        <v>413</v>
      </c>
      <c r="P27" s="60"/>
      <c r="Q27" s="60"/>
      <c r="R27" s="1131">
        <f>30*10</f>
        <v>300</v>
      </c>
      <c r="S27" s="1132"/>
      <c r="T27" s="1131" t="s">
        <v>209</v>
      </c>
      <c r="U27" s="1132"/>
      <c r="V27" s="1133">
        <v>9000</v>
      </c>
      <c r="W27" s="1134"/>
      <c r="X27" s="1135"/>
      <c r="Y27" s="870">
        <f>V27*R27</f>
        <v>2700000</v>
      </c>
      <c r="Z27" s="871"/>
      <c r="AA27" s="930"/>
      <c r="AB27" s="136"/>
      <c r="AC27" s="48">
        <f>30*2*V27</f>
        <v>540000</v>
      </c>
      <c r="AD27" s="48">
        <f>V27*30*3</f>
        <v>810000</v>
      </c>
      <c r="AE27" s="48">
        <f>V27*30*3</f>
        <v>810000</v>
      </c>
      <c r="AF27" s="48">
        <f>30*V27*2</f>
        <v>540000</v>
      </c>
      <c r="AG27" s="48"/>
    </row>
    <row r="28" spans="1:33" ht="18.75" customHeight="1" x14ac:dyDescent="0.3">
      <c r="A28" s="275"/>
      <c r="B28" s="85"/>
      <c r="C28" s="85"/>
      <c r="D28" s="85"/>
      <c r="E28" s="85"/>
      <c r="F28" s="85"/>
      <c r="G28" s="85"/>
      <c r="H28" s="85"/>
      <c r="I28" s="85"/>
      <c r="J28" s="85"/>
      <c r="K28" s="86" t="s">
        <v>208</v>
      </c>
      <c r="L28" s="57"/>
      <c r="M28" s="57"/>
      <c r="N28" s="57"/>
      <c r="O28" s="57" t="s">
        <v>413</v>
      </c>
      <c r="P28" s="57"/>
      <c r="Q28" s="57"/>
      <c r="R28" s="1136">
        <f>30*10</f>
        <v>300</v>
      </c>
      <c r="S28" s="1137"/>
      <c r="T28" s="1136" t="s">
        <v>209</v>
      </c>
      <c r="U28" s="1137"/>
      <c r="V28" s="1138">
        <v>25000</v>
      </c>
      <c r="W28" s="1139"/>
      <c r="X28" s="1140"/>
      <c r="Y28" s="870">
        <f>V28*R28</f>
        <v>7500000</v>
      </c>
      <c r="Z28" s="871"/>
      <c r="AA28" s="930"/>
      <c r="AB28" s="136"/>
      <c r="AC28" s="51">
        <f>30*2*V28</f>
        <v>1500000</v>
      </c>
      <c r="AD28" s="48">
        <f>V28*30*3</f>
        <v>2250000</v>
      </c>
      <c r="AE28" s="48">
        <f>V28*30*3</f>
        <v>2250000</v>
      </c>
      <c r="AF28" s="48">
        <f>30*V28*2</f>
        <v>1500000</v>
      </c>
      <c r="AG28" s="48"/>
    </row>
    <row r="29" spans="1:33" ht="18.75" customHeight="1" x14ac:dyDescent="0.2">
      <c r="A29" s="276"/>
      <c r="B29" s="42"/>
      <c r="C29" s="42"/>
      <c r="D29" s="42"/>
      <c r="E29" s="42"/>
      <c r="F29" s="42"/>
      <c r="G29" s="42"/>
      <c r="H29" s="42"/>
      <c r="I29" s="42"/>
      <c r="J29" s="42"/>
      <c r="K29" s="49"/>
      <c r="L29" s="32"/>
      <c r="M29" s="32"/>
      <c r="N29" s="32"/>
      <c r="O29" s="32"/>
      <c r="P29" s="32"/>
      <c r="Q29" s="32"/>
      <c r="R29" s="1120"/>
      <c r="S29" s="1120"/>
      <c r="T29" s="1119"/>
      <c r="U29" s="1119"/>
      <c r="V29" s="1112" t="s">
        <v>28</v>
      </c>
      <c r="W29" s="1112"/>
      <c r="X29" s="1113"/>
      <c r="Y29" s="886">
        <f>SUM(Y27:AA28)</f>
        <v>10200000</v>
      </c>
      <c r="Z29" s="887"/>
      <c r="AA29" s="949"/>
      <c r="AC29" s="48">
        <f>SUM(AC27:AC28)</f>
        <v>2040000</v>
      </c>
      <c r="AD29" s="48">
        <f t="shared" ref="AD29:AE29" si="0">SUM(AD27:AD28)</f>
        <v>3060000</v>
      </c>
      <c r="AE29" s="48">
        <f t="shared" si="0"/>
        <v>3060000</v>
      </c>
      <c r="AF29" s="48">
        <f>SUM(AF27:AF28)</f>
        <v>2040000</v>
      </c>
      <c r="AG29" s="48"/>
    </row>
    <row r="30" spans="1:33" ht="18.75" customHeight="1" x14ac:dyDescent="0.2">
      <c r="A30" s="277"/>
      <c r="B30" s="16" t="s">
        <v>306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67"/>
      <c r="AD30" s="800"/>
      <c r="AE30" s="800"/>
      <c r="AF30" s="800"/>
      <c r="AG30" s="800"/>
    </row>
    <row r="31" spans="1:33" ht="18.75" customHeight="1" x14ac:dyDescent="0.2">
      <c r="A31" s="278"/>
      <c r="B31" s="13"/>
      <c r="C31" s="13"/>
      <c r="D31" s="13"/>
      <c r="E31" s="13"/>
      <c r="F31" s="13"/>
      <c r="G31" s="13"/>
      <c r="H31" s="27"/>
      <c r="I31" s="13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620" t="str">
        <f>Koran!U31</f>
        <v>CAMAT SUKOHARJO</v>
      </c>
      <c r="V31" s="13"/>
      <c r="W31" s="13"/>
      <c r="X31" s="35"/>
      <c r="Y31" s="13"/>
      <c r="Z31" s="13"/>
      <c r="AA31" s="279"/>
      <c r="AC31" s="15">
        <f>40*9000</f>
        <v>360000</v>
      </c>
      <c r="AD31" s="800">
        <f>25*34000</f>
        <v>850000</v>
      </c>
      <c r="AE31" s="800"/>
      <c r="AF31" s="800"/>
      <c r="AG31" s="800"/>
    </row>
    <row r="32" spans="1:33" ht="18.75" customHeight="1" x14ac:dyDescent="0.2">
      <c r="A32" s="278"/>
      <c r="B32" s="13" t="s">
        <v>29</v>
      </c>
      <c r="C32" s="27"/>
      <c r="D32" s="13"/>
      <c r="E32" s="13"/>
      <c r="F32" s="40" t="s">
        <v>89</v>
      </c>
      <c r="G32" s="878">
        <f>AC29</f>
        <v>2040000</v>
      </c>
      <c r="H32" s="878"/>
      <c r="I32" s="878"/>
      <c r="J32" s="878"/>
      <c r="K32" s="13"/>
      <c r="L32" s="13"/>
      <c r="M32" s="13"/>
      <c r="N32" s="13"/>
      <c r="O32" s="28"/>
      <c r="P32" s="28"/>
      <c r="Q32" s="28"/>
      <c r="R32" s="28"/>
      <c r="S32" s="28"/>
      <c r="T32" s="28"/>
      <c r="U32" s="620"/>
      <c r="V32" s="13"/>
      <c r="W32" s="602"/>
      <c r="X32" s="13"/>
      <c r="Y32" s="13"/>
      <c r="Z32" s="13"/>
      <c r="AA32" s="279"/>
      <c r="AC32" s="15">
        <f>25000*40</f>
        <v>1000000</v>
      </c>
      <c r="AD32" s="800">
        <f>25</f>
        <v>25</v>
      </c>
      <c r="AE32" s="800"/>
      <c r="AF32" s="800"/>
      <c r="AG32" s="800"/>
    </row>
    <row r="33" spans="1:38" ht="18.75" customHeight="1" x14ac:dyDescent="0.2">
      <c r="A33" s="278"/>
      <c r="B33" s="13" t="s">
        <v>30</v>
      </c>
      <c r="C33" s="27"/>
      <c r="D33" s="13"/>
      <c r="E33" s="13"/>
      <c r="F33" s="40" t="s">
        <v>89</v>
      </c>
      <c r="G33" s="878">
        <f>AD29</f>
        <v>3060000</v>
      </c>
      <c r="H33" s="878"/>
      <c r="I33" s="878"/>
      <c r="J33" s="878"/>
      <c r="K33" s="13"/>
      <c r="L33" s="13"/>
      <c r="M33" s="13"/>
      <c r="N33" s="13"/>
      <c r="O33" s="28"/>
      <c r="P33" s="28"/>
      <c r="Q33" s="28"/>
      <c r="R33" s="28"/>
      <c r="S33" s="28"/>
      <c r="T33" s="28"/>
      <c r="U33" s="620"/>
      <c r="V33" s="13"/>
      <c r="W33" s="602"/>
      <c r="X33" s="13"/>
      <c r="Y33" s="13"/>
      <c r="Z33" s="13"/>
      <c r="AA33" s="279"/>
      <c r="AG33" s="48">
        <f>AD32*9000</f>
        <v>225000</v>
      </c>
    </row>
    <row r="34" spans="1:38" ht="18.75" customHeight="1" x14ac:dyDescent="0.2">
      <c r="A34" s="278"/>
      <c r="B34" s="13" t="s">
        <v>31</v>
      </c>
      <c r="C34" s="27"/>
      <c r="D34" s="13"/>
      <c r="E34" s="13"/>
      <c r="F34" s="40" t="s">
        <v>89</v>
      </c>
      <c r="G34" s="878">
        <f>AE29</f>
        <v>3060000</v>
      </c>
      <c r="H34" s="878"/>
      <c r="I34" s="878"/>
      <c r="J34" s="878"/>
      <c r="K34" s="13"/>
      <c r="L34" s="13"/>
      <c r="M34" s="13"/>
      <c r="N34" s="13"/>
      <c r="O34" s="28"/>
      <c r="P34" s="28"/>
      <c r="Q34" s="28"/>
      <c r="R34" s="28"/>
      <c r="S34" s="28"/>
      <c r="T34" s="28"/>
      <c r="U34" s="620"/>
      <c r="V34" s="13"/>
      <c r="W34" s="602"/>
      <c r="X34" s="13"/>
      <c r="Y34" s="13"/>
      <c r="Z34" s="13"/>
      <c r="AA34" s="279"/>
      <c r="AD34" s="15">
        <f>2380000/34000</f>
        <v>70</v>
      </c>
      <c r="AG34" s="48">
        <f>AD32*25000</f>
        <v>625000</v>
      </c>
    </row>
    <row r="35" spans="1:38" ht="18.75" customHeight="1" x14ac:dyDescent="0.2">
      <c r="A35" s="278"/>
      <c r="B35" s="13" t="s">
        <v>32</v>
      </c>
      <c r="C35" s="30"/>
      <c r="D35" s="29"/>
      <c r="E35" s="13"/>
      <c r="F35" s="40" t="s">
        <v>89</v>
      </c>
      <c r="G35" s="878">
        <f>AF29</f>
        <v>2040000</v>
      </c>
      <c r="H35" s="878"/>
      <c r="I35" s="878"/>
      <c r="J35" s="878"/>
      <c r="K35" s="13"/>
      <c r="L35" s="13"/>
      <c r="M35" s="13"/>
      <c r="N35" s="13"/>
      <c r="O35" s="31"/>
      <c r="P35" s="31"/>
      <c r="Q35" s="31"/>
      <c r="R35" s="31"/>
      <c r="S35" s="31"/>
      <c r="T35" s="31"/>
      <c r="U35" s="52" t="str">
        <f>Koran!U35</f>
        <v>DUDI WARDOYO, AP, M.M</v>
      </c>
      <c r="V35" s="13"/>
      <c r="W35" s="52"/>
      <c r="X35" s="13"/>
      <c r="Y35" s="13"/>
      <c r="Z35" s="13"/>
      <c r="AA35" s="279"/>
      <c r="AG35" s="48">
        <f>SUM(AG33:AG34)</f>
        <v>850000</v>
      </c>
    </row>
    <row r="36" spans="1:38" ht="15" customHeight="1" thickBot="1" x14ac:dyDescent="0.25">
      <c r="A36" s="278"/>
      <c r="B36" s="13"/>
      <c r="C36" s="13"/>
      <c r="D36" s="62" t="s">
        <v>28</v>
      </c>
      <c r="E36" s="13"/>
      <c r="F36" s="40" t="s">
        <v>89</v>
      </c>
      <c r="G36" s="877">
        <f>SUM(AC29:AF29)</f>
        <v>10200000</v>
      </c>
      <c r="H36" s="877"/>
      <c r="I36" s="877"/>
      <c r="J36" s="87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20" t="str">
        <f>Koran!U36</f>
        <v>Pembina Tk. I</v>
      </c>
      <c r="V36" s="13"/>
      <c r="W36" s="602"/>
      <c r="X36" s="13"/>
      <c r="Y36" s="34"/>
      <c r="Z36" s="34"/>
      <c r="AA36" s="280"/>
    </row>
    <row r="37" spans="1:38" ht="15" customHeight="1" thickTop="1" x14ac:dyDescent="0.2">
      <c r="A37" s="28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620" t="str">
        <f>Koran!U37</f>
        <v>NIP. 19741009 199311 1 001</v>
      </c>
      <c r="V37" s="10"/>
      <c r="W37" s="602"/>
      <c r="X37" s="10"/>
      <c r="Y37" s="10"/>
      <c r="Z37" s="10"/>
      <c r="AA37" s="282"/>
    </row>
    <row r="38" spans="1:38" s="138" customFormat="1" ht="18.75" customHeight="1" x14ac:dyDescent="0.2">
      <c r="A38" s="865" t="s">
        <v>194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519"/>
      <c r="T38" s="520"/>
      <c r="U38" s="520"/>
      <c r="V38" s="520"/>
      <c r="W38" s="520"/>
      <c r="X38" s="520"/>
      <c r="Y38" s="520"/>
      <c r="Z38" s="520"/>
      <c r="AA38" s="521"/>
      <c r="AG38" s="136"/>
      <c r="AI38" s="136"/>
      <c r="AL38" s="136"/>
    </row>
    <row r="39" spans="1:38" s="138" customFormat="1" ht="1.5" customHeight="1" x14ac:dyDescent="0.2">
      <c r="A39" s="382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516"/>
      <c r="T39" s="151"/>
      <c r="U39" s="151"/>
      <c r="V39" s="151"/>
      <c r="W39" s="151"/>
      <c r="X39" s="151"/>
      <c r="Y39" s="151"/>
      <c r="Z39" s="151"/>
      <c r="AA39" s="518"/>
      <c r="AG39" s="136"/>
      <c r="AI39" s="136"/>
      <c r="AL39" s="136"/>
    </row>
    <row r="40" spans="1:38" ht="18" customHeight="1" x14ac:dyDescent="0.2">
      <c r="A40" s="27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2"/>
      <c r="T40" s="13"/>
      <c r="U40" s="13"/>
      <c r="V40" s="13"/>
      <c r="W40" s="602" t="str">
        <f>Koran!W40</f>
        <v>Wonosobo,        Januari 2019</v>
      </c>
      <c r="X40" s="13"/>
      <c r="Y40" s="13"/>
      <c r="Z40" s="13"/>
      <c r="AA40" s="279"/>
    </row>
    <row r="41" spans="1:38" ht="3" hidden="1" customHeight="1" x14ac:dyDescent="0.2">
      <c r="A41" s="27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2"/>
      <c r="T41" s="13"/>
      <c r="U41" s="13"/>
      <c r="V41" s="13"/>
      <c r="W41" s="602"/>
      <c r="X41" s="13"/>
      <c r="Y41" s="13"/>
      <c r="Z41" s="13"/>
      <c r="AA41" s="279"/>
    </row>
    <row r="42" spans="1:38" ht="18.75" customHeight="1" x14ac:dyDescent="0.2">
      <c r="A42" s="283"/>
      <c r="B42" s="26" t="s">
        <v>34</v>
      </c>
      <c r="C42" s="13" t="str">
        <f>Koran!C42</f>
        <v>RIDWAN SETIA N, S.Kom</v>
      </c>
      <c r="D42" s="13"/>
      <c r="E42" s="44"/>
      <c r="F42" s="44"/>
      <c r="G42" s="13"/>
      <c r="H42" s="13"/>
      <c r="I42" s="13"/>
      <c r="J42" s="13"/>
      <c r="K42" s="64" t="s">
        <v>34</v>
      </c>
      <c r="L42" s="47" t="s">
        <v>196</v>
      </c>
      <c r="M42" s="47"/>
      <c r="N42" s="47"/>
      <c r="O42" s="13"/>
      <c r="P42" s="13"/>
      <c r="Q42" s="13"/>
      <c r="R42" s="47"/>
      <c r="S42" s="522"/>
      <c r="T42" s="47"/>
      <c r="U42" s="13"/>
      <c r="V42" s="13"/>
      <c r="W42" s="602" t="s">
        <v>33</v>
      </c>
      <c r="X42" s="13"/>
      <c r="Y42" s="13"/>
      <c r="Z42" s="13"/>
      <c r="AA42" s="279"/>
    </row>
    <row r="43" spans="1:38" ht="18.75" customHeight="1" x14ac:dyDescent="0.2">
      <c r="A43" s="283"/>
      <c r="B43" s="26"/>
      <c r="C43" s="13"/>
      <c r="D43" s="13"/>
      <c r="E43" s="44"/>
      <c r="F43" s="4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2"/>
      <c r="T43" s="13"/>
      <c r="U43" s="13"/>
      <c r="V43" s="13"/>
      <c r="W43" s="602" t="s">
        <v>85</v>
      </c>
      <c r="X43" s="13"/>
      <c r="Y43" s="13"/>
      <c r="Z43" s="13"/>
      <c r="AA43" s="279"/>
    </row>
    <row r="44" spans="1:38" ht="18.75" customHeight="1" x14ac:dyDescent="0.2">
      <c r="A44" s="278"/>
      <c r="B44" s="13"/>
      <c r="C44" s="13"/>
      <c r="D44" s="13"/>
      <c r="E44" s="13"/>
      <c r="F44" s="44"/>
      <c r="G44" s="13"/>
      <c r="H44" s="13"/>
      <c r="I44" s="13"/>
      <c r="J44" s="13"/>
      <c r="K44" s="47"/>
      <c r="L44" s="47"/>
      <c r="M44" s="13"/>
      <c r="N44" s="13"/>
      <c r="O44" s="13"/>
      <c r="P44" s="13"/>
      <c r="Q44" s="13"/>
      <c r="R44" s="47"/>
      <c r="S44" s="522"/>
      <c r="T44" s="47"/>
      <c r="U44" s="13"/>
      <c r="V44" s="13"/>
      <c r="W44" s="65"/>
      <c r="X44" s="13"/>
      <c r="Y44" s="13"/>
      <c r="Z44" s="13"/>
      <c r="AA44" s="279"/>
    </row>
    <row r="45" spans="1:38" ht="18.75" customHeight="1" x14ac:dyDescent="0.2">
      <c r="A45" s="283"/>
      <c r="B45" s="26" t="s">
        <v>35</v>
      </c>
      <c r="C45" s="13" t="str">
        <f>Koran!C45</f>
        <v>SABAR KHOIRI</v>
      </c>
      <c r="D45" s="13"/>
      <c r="E45" s="44"/>
      <c r="F45" s="13"/>
      <c r="G45" s="13"/>
      <c r="H45" s="13"/>
      <c r="I45" s="13"/>
      <c r="J45" s="13"/>
      <c r="K45" s="64" t="s">
        <v>35</v>
      </c>
      <c r="L45" s="47" t="s">
        <v>279</v>
      </c>
      <c r="M45" s="44"/>
      <c r="N45" s="44"/>
      <c r="O45" s="13"/>
      <c r="P45" s="13"/>
      <c r="Q45" s="13"/>
      <c r="R45" s="44"/>
      <c r="S45" s="46"/>
      <c r="T45" s="44"/>
      <c r="U45" s="44"/>
      <c r="V45" s="44"/>
      <c r="W45" s="602"/>
      <c r="X45" s="44"/>
      <c r="Y45" s="44"/>
      <c r="Z45" s="44"/>
      <c r="AA45" s="284"/>
    </row>
    <row r="46" spans="1:38" s="33" customFormat="1" ht="18.75" customHeight="1" x14ac:dyDescent="0.2">
      <c r="A46" s="285"/>
      <c r="B46" s="26"/>
      <c r="C46" s="13"/>
      <c r="D46" s="13"/>
      <c r="E46" s="615"/>
      <c r="F46" s="615"/>
      <c r="G46" s="615"/>
      <c r="H46" s="615"/>
      <c r="I46" s="615"/>
      <c r="J46" s="615"/>
      <c r="K46" s="64"/>
      <c r="L46" s="47"/>
      <c r="M46" s="615"/>
      <c r="N46" s="615"/>
      <c r="O46" s="615"/>
      <c r="P46" s="615"/>
      <c r="Q46" s="615"/>
      <c r="R46" s="615"/>
      <c r="S46" s="36"/>
      <c r="T46" s="602"/>
      <c r="U46" s="66"/>
      <c r="V46" s="66"/>
      <c r="W46" s="52" t="str">
        <f>Koran!W46</f>
        <v>Drs. M. KRISTIJADI, M.Si</v>
      </c>
      <c r="X46" s="66"/>
      <c r="Y46" s="66"/>
      <c r="Z46" s="13"/>
      <c r="AA46" s="279"/>
      <c r="AD46" s="605"/>
      <c r="AE46" s="605"/>
      <c r="AF46" s="605"/>
    </row>
    <row r="47" spans="1:38" s="33" customFormat="1" ht="12.75" customHeight="1" x14ac:dyDescent="0.2">
      <c r="A47" s="285"/>
      <c r="B47" s="26"/>
      <c r="C47" s="13"/>
      <c r="D47" s="13"/>
      <c r="E47" s="615"/>
      <c r="F47" s="615"/>
      <c r="G47" s="615"/>
      <c r="H47" s="615"/>
      <c r="I47" s="64"/>
      <c r="J47" s="47"/>
      <c r="K47" s="615"/>
      <c r="L47" s="615"/>
      <c r="M47" s="615"/>
      <c r="N47" s="615"/>
      <c r="O47" s="615"/>
      <c r="P47" s="615"/>
      <c r="Q47" s="615"/>
      <c r="R47" s="615"/>
      <c r="S47" s="36"/>
      <c r="T47" s="602"/>
      <c r="U47" s="66"/>
      <c r="V47" s="66"/>
      <c r="W47" s="602" t="str">
        <f>Koran!W47</f>
        <v>Pembina Utama Muda</v>
      </c>
      <c r="X47" s="66"/>
      <c r="Y47" s="66"/>
      <c r="Z47" s="13"/>
      <c r="AA47" s="279"/>
      <c r="AD47" s="605"/>
      <c r="AE47" s="605"/>
      <c r="AF47" s="605"/>
    </row>
    <row r="48" spans="1:38" s="33" customFormat="1" ht="18.75" customHeight="1" x14ac:dyDescent="0.2">
      <c r="A48" s="285"/>
      <c r="B48" s="615"/>
      <c r="C48" s="615"/>
      <c r="D48" s="615"/>
      <c r="E48" s="615"/>
      <c r="F48" s="615"/>
      <c r="G48" s="26"/>
      <c r="H48" s="13"/>
      <c r="I48" s="13"/>
      <c r="J48" s="13"/>
      <c r="K48" s="615"/>
      <c r="L48" s="615"/>
      <c r="M48" s="615"/>
      <c r="N48" s="64"/>
      <c r="O48" s="47"/>
      <c r="P48" s="615"/>
      <c r="Q48" s="615"/>
      <c r="R48" s="615"/>
      <c r="S48" s="36"/>
      <c r="T48" s="602"/>
      <c r="U48" s="66"/>
      <c r="V48" s="66"/>
      <c r="W48" s="602" t="str">
        <f>Koran!W48</f>
        <v>NIP. 19681226 199403 1 005</v>
      </c>
      <c r="X48" s="66"/>
      <c r="Y48" s="66"/>
      <c r="Z48" s="13"/>
      <c r="AA48" s="279"/>
      <c r="AD48" s="605"/>
      <c r="AE48" s="605"/>
      <c r="AF48" s="605"/>
    </row>
    <row r="49" spans="1:27" ht="3.75" customHeight="1" thickBot="1" x14ac:dyDescent="0.25">
      <c r="A49" s="286"/>
      <c r="B49" s="287"/>
      <c r="C49" s="287"/>
      <c r="D49" s="287"/>
      <c r="E49" s="287"/>
      <c r="F49" s="287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524"/>
      <c r="T49" s="288"/>
      <c r="U49" s="288"/>
      <c r="V49" s="288"/>
      <c r="W49" s="289"/>
      <c r="X49" s="288"/>
      <c r="Y49" s="288"/>
      <c r="Z49" s="288"/>
      <c r="AA49" s="290"/>
    </row>
    <row r="50" spans="1:27" ht="17.2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</sheetData>
  <mergeCells count="63">
    <mergeCell ref="K21:Q22"/>
    <mergeCell ref="T25:U25"/>
    <mergeCell ref="R24:S24"/>
    <mergeCell ref="Y15:AA15"/>
    <mergeCell ref="R22:S22"/>
    <mergeCell ref="V22:X22"/>
    <mergeCell ref="Y16:AA16"/>
    <mergeCell ref="Y25:AA25"/>
    <mergeCell ref="Y17:AA17"/>
    <mergeCell ref="T24:U24"/>
    <mergeCell ref="Y21:AA22"/>
    <mergeCell ref="A19:AA19"/>
    <mergeCell ref="A20:AA20"/>
    <mergeCell ref="R23:S23"/>
    <mergeCell ref="V23:X23"/>
    <mergeCell ref="Y24:AA24"/>
    <mergeCell ref="G36:J36"/>
    <mergeCell ref="G35:J35"/>
    <mergeCell ref="G34:J34"/>
    <mergeCell ref="R29:S29"/>
    <mergeCell ref="G33:J33"/>
    <mergeCell ref="Y27:AA27"/>
    <mergeCell ref="T27:U27"/>
    <mergeCell ref="M5:AA5"/>
    <mergeCell ref="A38:R38"/>
    <mergeCell ref="R28:S28"/>
    <mergeCell ref="Y23:AA23"/>
    <mergeCell ref="Y29:AA29"/>
    <mergeCell ref="V28:X28"/>
    <mergeCell ref="T28:U28"/>
    <mergeCell ref="Y28:AA28"/>
    <mergeCell ref="Y26:AA26"/>
    <mergeCell ref="G32:J32"/>
    <mergeCell ref="T29:U29"/>
    <mergeCell ref="K23:Q23"/>
    <mergeCell ref="A23:J23"/>
    <mergeCell ref="R25:S25"/>
    <mergeCell ref="A1:Q1"/>
    <mergeCell ref="Y14:AA14"/>
    <mergeCell ref="Y1:AA2"/>
    <mergeCell ref="R1:X1"/>
    <mergeCell ref="A12:AA12"/>
    <mergeCell ref="Y13:AA13"/>
    <mergeCell ref="A2:Q2"/>
    <mergeCell ref="A3:AA3"/>
    <mergeCell ref="G13:X13"/>
    <mergeCell ref="A13:F13"/>
    <mergeCell ref="AD32:AG32"/>
    <mergeCell ref="AD30:AG30"/>
    <mergeCell ref="AD31:AG31"/>
    <mergeCell ref="A4:AA4"/>
    <mergeCell ref="V27:X27"/>
    <mergeCell ref="V26:X26"/>
    <mergeCell ref="V25:X25"/>
    <mergeCell ref="V24:X24"/>
    <mergeCell ref="T22:U22"/>
    <mergeCell ref="T23:U23"/>
    <mergeCell ref="A21:J22"/>
    <mergeCell ref="R21:X21"/>
    <mergeCell ref="R27:S27"/>
    <mergeCell ref="V29:X29"/>
    <mergeCell ref="T26:U26"/>
    <mergeCell ref="R26:S26"/>
  </mergeCells>
  <phoneticPr fontId="2" type="noConversion"/>
  <printOptions horizontalCentered="1"/>
  <pageMargins left="0.35433070866141736" right="0.11811023622047245" top="0.47244094488188981" bottom="0.19685039370078741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7"/>
  <sheetViews>
    <sheetView showGridLines="0" view="pageBreakPreview" topLeftCell="A53" workbookViewId="0">
      <selection activeCell="G46" sqref="G46:J46"/>
    </sheetView>
  </sheetViews>
  <sheetFormatPr defaultColWidth="4.42578125" defaultRowHeight="16.5" x14ac:dyDescent="0.2"/>
  <cols>
    <col min="1" max="8" width="3.7109375" style="15" customWidth="1"/>
    <col min="9" max="9" width="4.140625" style="15" customWidth="1"/>
    <col min="10" max="10" width="3.7109375" style="15" customWidth="1"/>
    <col min="11" max="20" width="4.42578125" style="15" customWidth="1"/>
    <col min="21" max="21" width="4" style="15" customWidth="1"/>
    <col min="22" max="22" width="4.42578125" style="15" customWidth="1"/>
    <col min="23" max="23" width="4.140625" style="15" customWidth="1"/>
    <col min="24" max="26" width="4.42578125" style="15" customWidth="1"/>
    <col min="27" max="27" width="3.140625" style="15" customWidth="1"/>
    <col min="28" max="28" width="1.42578125" style="15" customWidth="1"/>
    <col min="29" max="29" width="2.42578125" style="15" customWidth="1"/>
    <col min="30" max="41" width="5" style="15" customWidth="1"/>
    <col min="42" max="42" width="13.7109375" style="15" customWidth="1"/>
    <col min="43" max="16384" width="4.42578125" style="15"/>
  </cols>
  <sheetData>
    <row r="1" spans="1:40" ht="20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4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18</v>
      </c>
      <c r="W2" s="56" t="s">
        <v>40</v>
      </c>
      <c r="X2" s="56" t="s">
        <v>41</v>
      </c>
      <c r="Y2" s="777"/>
      <c r="Z2" s="778"/>
      <c r="AA2" s="779"/>
    </row>
    <row r="3" spans="1:40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40" ht="15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40" ht="20.25" customHeight="1" x14ac:dyDescent="0.2">
      <c r="A5" s="266" t="s">
        <v>18</v>
      </c>
      <c r="B5" s="558"/>
      <c r="C5" s="558"/>
      <c r="D5" s="558"/>
      <c r="E5" s="558"/>
      <c r="F5" s="558"/>
      <c r="G5" s="586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40" ht="18" customHeight="1" x14ac:dyDescent="0.2">
      <c r="A6" s="266" t="s">
        <v>19</v>
      </c>
      <c r="B6" s="119"/>
      <c r="C6" s="119"/>
      <c r="D6" s="119"/>
      <c r="E6" s="119"/>
      <c r="F6" s="119"/>
      <c r="G6" s="586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40" ht="18" customHeight="1" x14ac:dyDescent="0.2">
      <c r="A7" s="266" t="s">
        <v>20</v>
      </c>
      <c r="B7" s="119"/>
      <c r="C7" s="119"/>
      <c r="D7" s="119"/>
      <c r="E7" s="119"/>
      <c r="F7" s="119"/>
      <c r="G7" s="586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40" s="138" customFormat="1" ht="18" customHeight="1" x14ac:dyDescent="0.2">
      <c r="A8" s="268" t="s">
        <v>21</v>
      </c>
      <c r="B8" s="120"/>
      <c r="C8" s="120"/>
      <c r="D8" s="120"/>
      <c r="E8" s="120"/>
      <c r="F8" s="120"/>
      <c r="G8" s="600" t="s">
        <v>89</v>
      </c>
      <c r="H8" s="338" t="s">
        <v>328</v>
      </c>
      <c r="I8" s="338"/>
      <c r="J8" s="338"/>
      <c r="K8" s="338" t="s">
        <v>44</v>
      </c>
      <c r="L8" s="616" t="s">
        <v>277</v>
      </c>
      <c r="M8" s="18" t="s">
        <v>366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69"/>
    </row>
    <row r="9" spans="1:40" ht="18" customHeight="1" x14ac:dyDescent="0.2">
      <c r="A9" s="268" t="s">
        <v>22</v>
      </c>
      <c r="B9" s="120"/>
      <c r="C9" s="120"/>
      <c r="D9" s="120"/>
      <c r="E9" s="120"/>
      <c r="F9" s="120"/>
      <c r="G9" s="586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40" ht="18" customHeight="1" x14ac:dyDescent="0.2">
      <c r="A10" s="268" t="s">
        <v>23</v>
      </c>
      <c r="B10" s="120"/>
      <c r="C10" s="120"/>
      <c r="D10" s="120"/>
      <c r="E10" s="120"/>
      <c r="F10" s="120"/>
      <c r="G10" s="586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40" ht="18" customHeight="1" x14ac:dyDescent="0.2">
      <c r="A11" s="268" t="s">
        <v>24</v>
      </c>
      <c r="B11" s="120"/>
      <c r="C11" s="120"/>
      <c r="D11" s="120"/>
      <c r="E11" s="120"/>
      <c r="F11" s="120"/>
      <c r="G11" s="586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40" ht="18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F12" s="50"/>
      <c r="AH12" s="50"/>
      <c r="AL12" s="50"/>
      <c r="AN12" s="50"/>
    </row>
    <row r="13" spans="1:40" ht="18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40" ht="18" customHeight="1" x14ac:dyDescent="0.2">
      <c r="A14" s="266" t="s">
        <v>14</v>
      </c>
      <c r="B14" s="119"/>
      <c r="C14" s="119"/>
      <c r="D14" s="119"/>
      <c r="E14" s="119"/>
      <c r="F14" s="578"/>
      <c r="G14" s="339" t="s">
        <v>367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6"/>
      <c r="V14" s="16"/>
      <c r="W14" s="16"/>
      <c r="X14" s="16"/>
      <c r="Y14" s="894">
        <v>1</v>
      </c>
      <c r="Z14" s="895"/>
      <c r="AA14" s="896"/>
      <c r="AD14" s="50"/>
      <c r="AF14" s="50"/>
      <c r="AH14" s="50"/>
      <c r="AL14" s="50"/>
      <c r="AN14" s="50"/>
    </row>
    <row r="15" spans="1:40" ht="18" customHeight="1" x14ac:dyDescent="0.2">
      <c r="A15" s="266" t="s">
        <v>15</v>
      </c>
      <c r="B15" s="119"/>
      <c r="C15" s="119"/>
      <c r="D15" s="119"/>
      <c r="E15" s="119"/>
      <c r="F15" s="578"/>
      <c r="G15" s="339" t="s">
        <v>122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6"/>
      <c r="V15" s="16"/>
      <c r="W15" s="16"/>
      <c r="X15" s="16"/>
      <c r="Y15" s="891">
        <f>Y24</f>
        <v>7500000</v>
      </c>
      <c r="Z15" s="892"/>
      <c r="AA15" s="893"/>
      <c r="AD15" s="51"/>
      <c r="AF15" s="51"/>
      <c r="AH15" s="51"/>
      <c r="AL15" s="51"/>
      <c r="AN15" s="51"/>
    </row>
    <row r="16" spans="1:40" ht="18" customHeight="1" x14ac:dyDescent="0.2">
      <c r="A16" s="266" t="s">
        <v>16</v>
      </c>
      <c r="B16" s="119"/>
      <c r="C16" s="119"/>
      <c r="D16" s="119"/>
      <c r="E16" s="119"/>
      <c r="F16" s="578"/>
      <c r="G16" s="339" t="s">
        <v>368</v>
      </c>
      <c r="H16" s="18"/>
      <c r="I16" s="18"/>
      <c r="J16" s="18"/>
      <c r="K16" s="18"/>
      <c r="L16" s="340"/>
      <c r="M16" s="340"/>
      <c r="N16" s="340"/>
      <c r="O16" s="340"/>
      <c r="P16" s="340"/>
      <c r="Q16" s="340"/>
      <c r="R16" s="340"/>
      <c r="S16" s="340"/>
      <c r="T16" s="340"/>
      <c r="U16" s="19"/>
      <c r="V16" s="19"/>
      <c r="W16" s="19"/>
      <c r="X16" s="19"/>
      <c r="Y16" s="889" t="s">
        <v>124</v>
      </c>
      <c r="Z16" s="883"/>
      <c r="AA16" s="890"/>
    </row>
    <row r="17" spans="1:42" ht="18" customHeight="1" x14ac:dyDescent="0.2">
      <c r="A17" s="266" t="s">
        <v>17</v>
      </c>
      <c r="B17" s="119"/>
      <c r="C17" s="119"/>
      <c r="D17" s="119"/>
      <c r="E17" s="119"/>
      <c r="F17" s="578"/>
      <c r="G17" s="339" t="s">
        <v>368</v>
      </c>
      <c r="H17" s="18"/>
      <c r="I17" s="18"/>
      <c r="J17" s="18"/>
      <c r="K17" s="18"/>
      <c r="L17" s="340"/>
      <c r="M17" s="340"/>
      <c r="N17" s="340"/>
      <c r="O17" s="340"/>
      <c r="P17" s="340"/>
      <c r="Q17" s="340"/>
      <c r="R17" s="340"/>
      <c r="S17" s="340"/>
      <c r="T17" s="340"/>
      <c r="U17" s="19"/>
      <c r="V17" s="19"/>
      <c r="W17" s="19"/>
      <c r="X17" s="19"/>
      <c r="Y17" s="889" t="s">
        <v>177</v>
      </c>
      <c r="Z17" s="883"/>
      <c r="AA17" s="890"/>
      <c r="AD17" s="51"/>
      <c r="AF17" s="51"/>
      <c r="AH17" s="51"/>
      <c r="AL17" s="51"/>
      <c r="AN17" s="51"/>
    </row>
    <row r="18" spans="1:42" ht="18" customHeight="1" x14ac:dyDescent="0.2">
      <c r="A18" s="266" t="s">
        <v>12</v>
      </c>
      <c r="B18" s="119"/>
      <c r="C18" s="119"/>
      <c r="D18" s="119"/>
      <c r="E18" s="119"/>
      <c r="F18" s="1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6"/>
      <c r="V18" s="16"/>
      <c r="W18" s="16"/>
      <c r="X18" s="16"/>
      <c r="Y18" s="16"/>
      <c r="Z18" s="16"/>
      <c r="AA18" s="267"/>
      <c r="AD18" s="51"/>
      <c r="AF18" s="51"/>
      <c r="AH18" s="51"/>
      <c r="AL18" s="51"/>
      <c r="AN18" s="51"/>
    </row>
    <row r="19" spans="1:42" ht="15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42" ht="1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F20" s="48"/>
      <c r="AH20" s="48"/>
      <c r="AL20" s="48"/>
      <c r="AN20" s="48"/>
    </row>
    <row r="21" spans="1:42" ht="15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42" ht="15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42" ht="16.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42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277</v>
      </c>
      <c r="F24" s="83" t="s">
        <v>40</v>
      </c>
      <c r="G24" s="83" t="s">
        <v>41</v>
      </c>
      <c r="H24" s="83" t="s">
        <v>41</v>
      </c>
      <c r="I24" s="83"/>
      <c r="J24" s="83"/>
      <c r="K24" s="84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7500000</v>
      </c>
      <c r="Z24" s="918"/>
      <c r="AA24" s="948"/>
    </row>
    <row r="25" spans="1:42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277</v>
      </c>
      <c r="F25" s="82" t="s">
        <v>40</v>
      </c>
      <c r="G25" s="82" t="s">
        <v>41</v>
      </c>
      <c r="H25" s="82" t="s">
        <v>41</v>
      </c>
      <c r="I25" s="82" t="s">
        <v>67</v>
      </c>
      <c r="J25" s="82"/>
      <c r="K25" s="79" t="s">
        <v>68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7500000</v>
      </c>
      <c r="Z25" s="918"/>
      <c r="AA25" s="948"/>
    </row>
    <row r="26" spans="1:42" ht="18.75" customHeight="1" x14ac:dyDescent="0.2">
      <c r="A26" s="346" t="s">
        <v>323</v>
      </c>
      <c r="B26" s="347" t="s">
        <v>323</v>
      </c>
      <c r="C26" s="347" t="s">
        <v>277</v>
      </c>
      <c r="D26" s="347" t="s">
        <v>44</v>
      </c>
      <c r="E26" s="347" t="s">
        <v>277</v>
      </c>
      <c r="F26" s="347" t="s">
        <v>40</v>
      </c>
      <c r="G26" s="347" t="s">
        <v>41</v>
      </c>
      <c r="H26" s="347" t="s">
        <v>41</v>
      </c>
      <c r="I26" s="347" t="s">
        <v>67</v>
      </c>
      <c r="J26" s="347" t="s">
        <v>50</v>
      </c>
      <c r="K26" s="106" t="s">
        <v>369</v>
      </c>
      <c r="L26" s="159"/>
      <c r="M26" s="159"/>
      <c r="N26" s="159"/>
      <c r="O26" s="159"/>
      <c r="P26" s="159"/>
      <c r="Q26" s="159"/>
      <c r="R26" s="1060"/>
      <c r="S26" s="1152"/>
      <c r="T26" s="1059"/>
      <c r="U26" s="1153"/>
      <c r="V26" s="1059"/>
      <c r="W26" s="1154"/>
      <c r="X26" s="1153"/>
      <c r="Y26" s="832">
        <f>Y28+Y31+Y38</f>
        <v>7500000</v>
      </c>
      <c r="Z26" s="833"/>
      <c r="AA26" s="966"/>
      <c r="AD26" s="48"/>
      <c r="AF26" s="48"/>
      <c r="AH26" s="48"/>
      <c r="AL26" s="48"/>
      <c r="AN26" s="48"/>
    </row>
    <row r="27" spans="1:42" ht="18.75" hidden="1" customHeight="1" x14ac:dyDescent="0.2">
      <c r="A27" s="346"/>
      <c r="B27" s="347"/>
      <c r="C27" s="347"/>
      <c r="D27" s="347"/>
      <c r="E27" s="347"/>
      <c r="F27" s="347"/>
      <c r="G27" s="347"/>
      <c r="H27" s="347"/>
      <c r="I27" s="347"/>
      <c r="J27" s="347"/>
      <c r="K27" s="106" t="s">
        <v>357</v>
      </c>
      <c r="L27" s="159"/>
      <c r="M27" s="159"/>
      <c r="N27" s="159"/>
      <c r="O27" s="159"/>
      <c r="P27" s="159"/>
      <c r="Q27" s="159"/>
      <c r="R27" s="607"/>
      <c r="S27" s="611"/>
      <c r="T27" s="608"/>
      <c r="U27" s="612"/>
      <c r="V27" s="608"/>
      <c r="W27" s="613"/>
      <c r="X27" s="612"/>
      <c r="Y27" s="603"/>
      <c r="Z27" s="604"/>
      <c r="AA27" s="606"/>
      <c r="AD27" s="48"/>
      <c r="AF27" s="48"/>
      <c r="AH27" s="48"/>
      <c r="AL27" s="48"/>
      <c r="AN27" s="48"/>
    </row>
    <row r="28" spans="1:42" ht="18.75" customHeight="1" x14ac:dyDescent="0.2">
      <c r="A28" s="346"/>
      <c r="B28" s="347"/>
      <c r="C28" s="347"/>
      <c r="D28" s="347"/>
      <c r="E28" s="347"/>
      <c r="F28" s="347"/>
      <c r="G28" s="347"/>
      <c r="H28" s="347"/>
      <c r="I28" s="347"/>
      <c r="J28" s="347"/>
      <c r="K28" s="106" t="s">
        <v>451</v>
      </c>
      <c r="L28" s="159"/>
      <c r="M28" s="159"/>
      <c r="N28" s="159"/>
      <c r="O28" s="159"/>
      <c r="P28" s="159"/>
      <c r="Q28" s="159"/>
      <c r="R28" s="732"/>
      <c r="S28" s="736"/>
      <c r="T28" s="731"/>
      <c r="U28" s="737"/>
      <c r="V28" s="731"/>
      <c r="W28" s="738"/>
      <c r="X28" s="737"/>
      <c r="Y28" s="832">
        <f>Y30</f>
        <v>1800000</v>
      </c>
      <c r="Z28" s="833"/>
      <c r="AA28" s="966"/>
      <c r="AD28" s="48"/>
      <c r="AF28" s="48"/>
      <c r="AH28" s="48"/>
      <c r="AL28" s="48"/>
      <c r="AN28" s="48"/>
    </row>
    <row r="29" spans="1:42" ht="18.75" customHeight="1" x14ac:dyDescent="0.2">
      <c r="A29" s="346"/>
      <c r="B29" s="347"/>
      <c r="C29" s="347"/>
      <c r="D29" s="347"/>
      <c r="E29" s="347"/>
      <c r="F29" s="347"/>
      <c r="G29" s="347"/>
      <c r="H29" s="347"/>
      <c r="I29" s="347"/>
      <c r="J29" s="347"/>
      <c r="K29" s="106" t="s">
        <v>452</v>
      </c>
      <c r="L29" s="159"/>
      <c r="M29" s="159"/>
      <c r="N29" s="159"/>
      <c r="O29" s="159"/>
      <c r="P29" s="159"/>
      <c r="Q29" s="159"/>
      <c r="R29" s="732"/>
      <c r="S29" s="736"/>
      <c r="T29" s="731"/>
      <c r="U29" s="737"/>
      <c r="V29" s="731"/>
      <c r="W29" s="738"/>
      <c r="X29" s="737"/>
      <c r="Y29" s="723"/>
      <c r="Z29" s="724"/>
      <c r="AA29" s="725"/>
      <c r="AD29" s="48"/>
      <c r="AF29" s="48"/>
      <c r="AH29" s="48"/>
      <c r="AL29" s="48"/>
      <c r="AN29" s="48"/>
    </row>
    <row r="30" spans="1:42" ht="18.75" customHeight="1" x14ac:dyDescent="0.3">
      <c r="A30" s="271"/>
      <c r="B30" s="25"/>
      <c r="C30" s="25"/>
      <c r="D30" s="25"/>
      <c r="E30" s="25"/>
      <c r="F30" s="25"/>
      <c r="G30" s="25"/>
      <c r="H30" s="25"/>
      <c r="I30" s="25"/>
      <c r="J30" s="25"/>
      <c r="K30" s="200" t="s">
        <v>414</v>
      </c>
      <c r="L30" s="60"/>
      <c r="M30" s="57"/>
      <c r="N30" s="60"/>
      <c r="O30" s="57"/>
      <c r="P30" s="60"/>
      <c r="Q30" s="60"/>
      <c r="R30" s="983">
        <v>2</v>
      </c>
      <c r="S30" s="984"/>
      <c r="T30" s="983" t="s">
        <v>209</v>
      </c>
      <c r="U30" s="984"/>
      <c r="V30" s="979">
        <v>900000</v>
      </c>
      <c r="W30" s="980"/>
      <c r="X30" s="981"/>
      <c r="Y30" s="832">
        <f>V30*R30</f>
        <v>1800000</v>
      </c>
      <c r="Z30" s="833"/>
      <c r="AA30" s="966"/>
      <c r="AB30" s="138"/>
      <c r="AD30" s="1141">
        <f>V30*2</f>
        <v>1800000</v>
      </c>
      <c r="AE30" s="1141"/>
      <c r="AF30" s="1141">
        <v>0</v>
      </c>
      <c r="AG30" s="1141"/>
      <c r="AH30" s="1141">
        <v>0</v>
      </c>
      <c r="AI30" s="1141"/>
      <c r="AJ30" s="1141">
        <v>0</v>
      </c>
      <c r="AK30" s="1141"/>
      <c r="AL30" s="1141"/>
      <c r="AM30" s="1143"/>
      <c r="AN30" s="1142">
        <f>SUM(AD30:AM30)</f>
        <v>1800000</v>
      </c>
      <c r="AO30" s="1141"/>
      <c r="AP30" s="48">
        <f>3*V30</f>
        <v>2700000</v>
      </c>
    </row>
    <row r="31" spans="1:42" ht="18.75" customHeight="1" x14ac:dyDescent="0.3">
      <c r="A31" s="271"/>
      <c r="B31" s="25"/>
      <c r="C31" s="25"/>
      <c r="D31" s="25"/>
      <c r="E31" s="25"/>
      <c r="F31" s="25"/>
      <c r="G31" s="25"/>
      <c r="H31" s="25"/>
      <c r="I31" s="25"/>
      <c r="J31" s="25"/>
      <c r="K31" s="106" t="s">
        <v>453</v>
      </c>
      <c r="L31" s="60"/>
      <c r="M31" s="57"/>
      <c r="N31" s="60"/>
      <c r="O31" s="57"/>
      <c r="P31" s="60"/>
      <c r="Q31" s="60"/>
      <c r="R31" s="729"/>
      <c r="S31" s="730"/>
      <c r="T31" s="729"/>
      <c r="U31" s="730"/>
      <c r="V31" s="726"/>
      <c r="W31" s="727"/>
      <c r="X31" s="728"/>
      <c r="Y31" s="832">
        <f>Y34+Y35</f>
        <v>5300000</v>
      </c>
      <c r="Z31" s="833"/>
      <c r="AA31" s="966"/>
      <c r="AB31" s="138"/>
      <c r="AD31" s="735"/>
      <c r="AE31" s="735"/>
      <c r="AF31" s="735"/>
      <c r="AG31" s="735"/>
      <c r="AH31" s="735"/>
      <c r="AI31" s="735"/>
      <c r="AJ31" s="735"/>
      <c r="AK31" s="735"/>
      <c r="AL31" s="733"/>
      <c r="AM31" s="722"/>
      <c r="AN31" s="734"/>
      <c r="AO31" s="735"/>
      <c r="AP31" s="48"/>
    </row>
    <row r="32" spans="1:42" ht="18.75" customHeight="1" x14ac:dyDescent="0.3">
      <c r="A32" s="271"/>
      <c r="B32" s="25"/>
      <c r="C32" s="25"/>
      <c r="D32" s="25"/>
      <c r="E32" s="25"/>
      <c r="F32" s="25"/>
      <c r="G32" s="25"/>
      <c r="H32" s="25"/>
      <c r="I32" s="25"/>
      <c r="J32" s="25"/>
      <c r="K32" s="200" t="s">
        <v>454</v>
      </c>
      <c r="L32" s="60"/>
      <c r="M32" s="57"/>
      <c r="N32" s="60"/>
      <c r="O32" s="57"/>
      <c r="P32" s="60"/>
      <c r="Q32" s="60"/>
      <c r="R32" s="729"/>
      <c r="S32" s="730"/>
      <c r="T32" s="729"/>
      <c r="U32" s="730"/>
      <c r="V32" s="726"/>
      <c r="W32" s="727"/>
      <c r="X32" s="728"/>
      <c r="Y32" s="723"/>
      <c r="Z32" s="724"/>
      <c r="AA32" s="725"/>
      <c r="AB32" s="138"/>
      <c r="AD32" s="735"/>
      <c r="AE32" s="735"/>
      <c r="AF32" s="735"/>
      <c r="AG32" s="735"/>
      <c r="AH32" s="735"/>
      <c r="AI32" s="735"/>
      <c r="AJ32" s="735"/>
      <c r="AK32" s="735"/>
      <c r="AL32" s="733"/>
      <c r="AM32" s="722"/>
      <c r="AN32" s="734"/>
      <c r="AO32" s="735"/>
      <c r="AP32" s="48"/>
    </row>
    <row r="33" spans="1:42" ht="18.75" customHeight="1" x14ac:dyDescent="0.3">
      <c r="A33" s="271"/>
      <c r="B33" s="25"/>
      <c r="C33" s="25"/>
      <c r="D33" s="25"/>
      <c r="E33" s="25"/>
      <c r="F33" s="25"/>
      <c r="G33" s="25"/>
      <c r="H33" s="25"/>
      <c r="I33" s="25"/>
      <c r="J33" s="25"/>
      <c r="K33" s="200" t="s">
        <v>455</v>
      </c>
      <c r="L33" s="60"/>
      <c r="M33" s="57"/>
      <c r="N33" s="60"/>
      <c r="O33" s="57"/>
      <c r="P33" s="60"/>
      <c r="Q33" s="60"/>
      <c r="R33" s="729"/>
      <c r="S33" s="730"/>
      <c r="T33" s="729"/>
      <c r="U33" s="730"/>
      <c r="V33" s="726"/>
      <c r="W33" s="727"/>
      <c r="X33" s="728"/>
      <c r="Y33" s="723"/>
      <c r="Z33" s="724"/>
      <c r="AA33" s="725"/>
      <c r="AB33" s="138"/>
      <c r="AD33" s="735"/>
      <c r="AE33" s="735"/>
      <c r="AF33" s="735"/>
      <c r="AG33" s="735"/>
      <c r="AH33" s="735"/>
      <c r="AI33" s="735"/>
      <c r="AJ33" s="735"/>
      <c r="AK33" s="735"/>
      <c r="AL33" s="733"/>
      <c r="AM33" s="722"/>
      <c r="AN33" s="734"/>
      <c r="AO33" s="735"/>
      <c r="AP33" s="48"/>
    </row>
    <row r="34" spans="1:42" ht="18.75" customHeight="1" x14ac:dyDescent="0.3">
      <c r="A34" s="271"/>
      <c r="B34" s="25"/>
      <c r="C34" s="25"/>
      <c r="D34" s="25"/>
      <c r="E34" s="25"/>
      <c r="F34" s="25"/>
      <c r="G34" s="25"/>
      <c r="H34" s="25"/>
      <c r="I34" s="25"/>
      <c r="J34" s="25"/>
      <c r="K34" s="200" t="s">
        <v>414</v>
      </c>
      <c r="L34" s="60"/>
      <c r="M34" s="57"/>
      <c r="N34" s="60"/>
      <c r="O34" s="57"/>
      <c r="P34" s="60"/>
      <c r="Q34" s="60"/>
      <c r="R34" s="983">
        <v>5</v>
      </c>
      <c r="S34" s="984"/>
      <c r="T34" s="983" t="s">
        <v>209</v>
      </c>
      <c r="U34" s="984"/>
      <c r="V34" s="979">
        <v>500000</v>
      </c>
      <c r="W34" s="980"/>
      <c r="X34" s="981"/>
      <c r="Y34" s="832">
        <f>V34*R34</f>
        <v>2500000</v>
      </c>
      <c r="Z34" s="833"/>
      <c r="AA34" s="966"/>
      <c r="AB34" s="138"/>
      <c r="AD34" s="1141">
        <f>V34*1</f>
        <v>500000</v>
      </c>
      <c r="AE34" s="1141"/>
      <c r="AF34" s="1141">
        <v>500000</v>
      </c>
      <c r="AG34" s="1141"/>
      <c r="AH34" s="1141">
        <v>1000000</v>
      </c>
      <c r="AI34" s="1141"/>
      <c r="AJ34" s="1141">
        <v>500000</v>
      </c>
      <c r="AK34" s="1141"/>
      <c r="AL34" s="733"/>
      <c r="AM34" s="722"/>
      <c r="AN34" s="1142">
        <f>SUM(AD34:AM34)</f>
        <v>2500000</v>
      </c>
      <c r="AO34" s="1141"/>
      <c r="AP34" s="48"/>
    </row>
    <row r="35" spans="1:42" ht="18.75" customHeight="1" x14ac:dyDescent="0.3">
      <c r="A35" s="271"/>
      <c r="B35" s="25"/>
      <c r="C35" s="25"/>
      <c r="D35" s="25"/>
      <c r="E35" s="25"/>
      <c r="F35" s="25"/>
      <c r="G35" s="25"/>
      <c r="H35" s="25"/>
      <c r="I35" s="25"/>
      <c r="J35" s="25"/>
      <c r="K35" s="335" t="s">
        <v>415</v>
      </c>
      <c r="L35" s="60"/>
      <c r="M35" s="57"/>
      <c r="N35" s="60"/>
      <c r="O35" s="57"/>
      <c r="P35" s="60"/>
      <c r="Q35" s="60"/>
      <c r="R35" s="983">
        <v>7</v>
      </c>
      <c r="S35" s="984"/>
      <c r="T35" s="983" t="s">
        <v>209</v>
      </c>
      <c r="U35" s="984"/>
      <c r="V35" s="979">
        <v>400000</v>
      </c>
      <c r="W35" s="980"/>
      <c r="X35" s="981"/>
      <c r="Y35" s="832">
        <f>V35*R35</f>
        <v>2800000</v>
      </c>
      <c r="Z35" s="833"/>
      <c r="AA35" s="966"/>
      <c r="AB35" s="152"/>
      <c r="AD35" s="1141">
        <f>V35*1</f>
        <v>400000</v>
      </c>
      <c r="AE35" s="1141"/>
      <c r="AF35" s="1141">
        <f>V35*2</f>
        <v>800000</v>
      </c>
      <c r="AG35" s="1141"/>
      <c r="AH35" s="1141">
        <v>800000</v>
      </c>
      <c r="AI35" s="1141"/>
      <c r="AJ35" s="1141">
        <f>V35*2</f>
        <v>800000</v>
      </c>
      <c r="AK35" s="1141"/>
      <c r="AL35" s="1143"/>
      <c r="AM35" s="1144"/>
      <c r="AN35" s="1142">
        <f>SUM(AD35:AM35)</f>
        <v>2800000</v>
      </c>
      <c r="AO35" s="1141"/>
      <c r="AP35" s="48"/>
    </row>
    <row r="36" spans="1:42" ht="18.75" hidden="1" customHeight="1" x14ac:dyDescent="0.3">
      <c r="A36" s="271"/>
      <c r="B36" s="25"/>
      <c r="C36" s="25"/>
      <c r="D36" s="25"/>
      <c r="E36" s="25"/>
      <c r="F36" s="25"/>
      <c r="G36" s="25"/>
      <c r="H36" s="25"/>
      <c r="I36" s="25"/>
      <c r="J36" s="25"/>
      <c r="K36" s="335"/>
      <c r="L36" s="60"/>
      <c r="M36" s="57"/>
      <c r="N36" s="60"/>
      <c r="O36" s="57"/>
      <c r="P36" s="60"/>
      <c r="Q36" s="60"/>
      <c r="R36" s="1131"/>
      <c r="S36" s="1132"/>
      <c r="T36" s="1131"/>
      <c r="U36" s="1132"/>
      <c r="V36" s="1149"/>
      <c r="W36" s="1150"/>
      <c r="X36" s="1151"/>
      <c r="Y36" s="870"/>
      <c r="Z36" s="871"/>
      <c r="AA36" s="930"/>
      <c r="AB36" s="138"/>
      <c r="AD36" s="1141"/>
      <c r="AE36" s="1141"/>
      <c r="AF36" s="1141"/>
      <c r="AG36" s="1141"/>
      <c r="AH36" s="1141"/>
      <c r="AI36" s="1141"/>
      <c r="AJ36" s="596"/>
      <c r="AK36" s="596"/>
      <c r="AL36" s="1141"/>
      <c r="AM36" s="1141"/>
      <c r="AN36" s="1142"/>
      <c r="AO36" s="1141"/>
      <c r="AP36" s="48"/>
    </row>
    <row r="37" spans="1:42" ht="18.75" hidden="1" customHeight="1" x14ac:dyDescent="0.3">
      <c r="A37" s="274"/>
      <c r="B37" s="69"/>
      <c r="C37" s="69"/>
      <c r="D37" s="69"/>
      <c r="E37" s="69"/>
      <c r="F37" s="69"/>
      <c r="G37" s="69"/>
      <c r="H37" s="69"/>
      <c r="I37" s="69"/>
      <c r="J37" s="69"/>
      <c r="K37" s="200"/>
      <c r="L37" s="60"/>
      <c r="M37" s="57"/>
      <c r="N37" s="60"/>
      <c r="O37" s="57"/>
      <c r="P37" s="60"/>
      <c r="Q37" s="60"/>
      <c r="R37" s="598"/>
      <c r="S37" s="599"/>
      <c r="T37" s="598"/>
      <c r="U37" s="599"/>
      <c r="V37" s="115"/>
      <c r="W37" s="116"/>
      <c r="X37" s="117"/>
      <c r="Y37" s="587"/>
      <c r="Z37" s="588"/>
      <c r="AA37" s="593"/>
      <c r="AB37" s="138"/>
      <c r="AD37" s="1143"/>
      <c r="AE37" s="1144"/>
      <c r="AF37" s="1143"/>
      <c r="AG37" s="1144"/>
      <c r="AH37" s="1143"/>
      <c r="AI37" s="1144"/>
      <c r="AJ37" s="584"/>
      <c r="AK37" s="584"/>
      <c r="AL37" s="1143"/>
      <c r="AM37" s="1144"/>
      <c r="AN37" s="1143"/>
      <c r="AO37" s="1144"/>
    </row>
    <row r="38" spans="1:42" ht="18.75" customHeight="1" x14ac:dyDescent="0.3">
      <c r="A38" s="274"/>
      <c r="B38" s="69"/>
      <c r="C38" s="69"/>
      <c r="D38" s="69"/>
      <c r="E38" s="69"/>
      <c r="F38" s="69"/>
      <c r="G38" s="69"/>
      <c r="H38" s="69"/>
      <c r="I38" s="69"/>
      <c r="J38" s="69"/>
      <c r="K38" s="72" t="s">
        <v>456</v>
      </c>
      <c r="L38" s="60"/>
      <c r="M38" s="57"/>
      <c r="N38" s="60"/>
      <c r="O38" s="57"/>
      <c r="P38" s="60"/>
      <c r="Q38" s="60"/>
      <c r="R38" s="1131">
        <v>1</v>
      </c>
      <c r="S38" s="1132"/>
      <c r="T38" s="1131" t="s">
        <v>333</v>
      </c>
      <c r="U38" s="1132"/>
      <c r="V38" s="1133">
        <v>400000</v>
      </c>
      <c r="W38" s="1134"/>
      <c r="X38" s="1135"/>
      <c r="Y38" s="870">
        <f>V38*R38</f>
        <v>400000</v>
      </c>
      <c r="Z38" s="871"/>
      <c r="AA38" s="930"/>
      <c r="AB38" s="138"/>
      <c r="AD38" s="1143">
        <v>100000</v>
      </c>
      <c r="AE38" s="1144"/>
      <c r="AF38" s="1143">
        <v>100000</v>
      </c>
      <c r="AG38" s="1144"/>
      <c r="AH38" s="1143">
        <v>100000</v>
      </c>
      <c r="AI38" s="1144"/>
      <c r="AJ38" s="1143">
        <v>100000</v>
      </c>
      <c r="AK38" s="1144"/>
      <c r="AL38" s="626"/>
      <c r="AM38" s="627"/>
      <c r="AN38" s="1142">
        <f>SUM(AD38:AM38)</f>
        <v>400000</v>
      </c>
      <c r="AO38" s="1141"/>
    </row>
    <row r="39" spans="1:42" ht="18.75" customHeight="1" thickBot="1" x14ac:dyDescent="0.35">
      <c r="A39" s="275"/>
      <c r="B39" s="85"/>
      <c r="C39" s="85"/>
      <c r="D39" s="85"/>
      <c r="E39" s="85"/>
      <c r="F39" s="85"/>
      <c r="G39" s="85"/>
      <c r="H39" s="85"/>
      <c r="I39" s="85"/>
      <c r="J39" s="85"/>
      <c r="K39" s="87"/>
      <c r="L39" s="57"/>
      <c r="M39" s="57"/>
      <c r="N39" s="57"/>
      <c r="O39" s="57"/>
      <c r="P39" s="57"/>
      <c r="Q39" s="57"/>
      <c r="R39" s="1129"/>
      <c r="S39" s="1130"/>
      <c r="T39" s="1129"/>
      <c r="U39" s="1130"/>
      <c r="V39" s="1138"/>
      <c r="W39" s="1139"/>
      <c r="X39" s="1140"/>
      <c r="Y39" s="870"/>
      <c r="Z39" s="871"/>
      <c r="AA39" s="930"/>
      <c r="AB39" s="152"/>
      <c r="AC39" s="90"/>
      <c r="AD39" s="1147">
        <f>3*V39</f>
        <v>0</v>
      </c>
      <c r="AE39" s="1147"/>
      <c r="AF39" s="1147"/>
      <c r="AG39" s="1147"/>
      <c r="AH39" s="1147">
        <v>0</v>
      </c>
      <c r="AI39" s="1147"/>
      <c r="AJ39" s="597"/>
      <c r="AK39" s="597"/>
      <c r="AL39" s="1147"/>
      <c r="AM39" s="1147"/>
      <c r="AN39" s="1148">
        <f>SUM(AD39:AM39)</f>
        <v>0</v>
      </c>
      <c r="AO39" s="1147"/>
    </row>
    <row r="40" spans="1:42" ht="15.75" customHeight="1" thickTop="1" x14ac:dyDescent="0.2">
      <c r="A40" s="276"/>
      <c r="B40" s="42"/>
      <c r="C40" s="42"/>
      <c r="D40" s="42"/>
      <c r="E40" s="42"/>
      <c r="F40" s="42"/>
      <c r="G40" s="42"/>
      <c r="H40" s="42"/>
      <c r="I40" s="42"/>
      <c r="J40" s="42"/>
      <c r="K40" s="49"/>
      <c r="L40" s="32"/>
      <c r="M40" s="32"/>
      <c r="N40" s="32"/>
      <c r="O40" s="32"/>
      <c r="P40" s="32"/>
      <c r="Q40" s="32"/>
      <c r="R40" s="1120"/>
      <c r="S40" s="1120"/>
      <c r="T40" s="1119"/>
      <c r="U40" s="1119"/>
      <c r="V40" s="1112" t="s">
        <v>28</v>
      </c>
      <c r="W40" s="1112"/>
      <c r="X40" s="1113"/>
      <c r="Y40" s="886">
        <f>Y24</f>
        <v>7500000</v>
      </c>
      <c r="Z40" s="887"/>
      <c r="AA40" s="949"/>
      <c r="AD40" s="1145">
        <f>SUM(AD30:AE39)</f>
        <v>2800000</v>
      </c>
      <c r="AE40" s="1145"/>
      <c r="AF40" s="1145">
        <f>SUM(AF30:AG39)</f>
        <v>1400000</v>
      </c>
      <c r="AG40" s="1145"/>
      <c r="AH40" s="1145">
        <f>SUM(AH30:AI39)</f>
        <v>1900000</v>
      </c>
      <c r="AI40" s="1145"/>
      <c r="AJ40" s="1145">
        <f>SUM(AJ30:AK39)</f>
        <v>1400000</v>
      </c>
      <c r="AK40" s="1145"/>
      <c r="AL40" s="1145">
        <f>SUM(AL30:AM39)</f>
        <v>0</v>
      </c>
      <c r="AM40" s="1146"/>
      <c r="AN40" s="800">
        <f>SUM(AN30:AO39)</f>
        <v>7500000</v>
      </c>
      <c r="AO40" s="800"/>
      <c r="AP40" s="48">
        <f>SUM(AP30:AP39)</f>
        <v>2700000</v>
      </c>
    </row>
    <row r="41" spans="1:42" ht="15.75" customHeight="1" x14ac:dyDescent="0.2">
      <c r="A41" s="277"/>
      <c r="B41" s="16" t="s">
        <v>307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67"/>
      <c r="AD41" s="800"/>
      <c r="AE41" s="800"/>
      <c r="AF41" s="800"/>
      <c r="AG41" s="800"/>
      <c r="AH41" s="800"/>
      <c r="AI41" s="800"/>
      <c r="AJ41" s="48"/>
      <c r="AK41" s="48"/>
      <c r="AL41" s="48"/>
      <c r="AM41" s="48"/>
      <c r="AN41" s="48"/>
      <c r="AO41" s="48"/>
    </row>
    <row r="42" spans="1:42" ht="3.75" customHeight="1" x14ac:dyDescent="0.2">
      <c r="A42" s="278"/>
      <c r="B42" s="13"/>
      <c r="C42" s="13"/>
      <c r="D42" s="13"/>
      <c r="E42" s="13"/>
      <c r="F42" s="13"/>
      <c r="G42" s="13"/>
      <c r="H42" s="27"/>
      <c r="I42" s="13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13"/>
      <c r="V42" s="13"/>
      <c r="W42" s="13"/>
      <c r="X42" s="585"/>
      <c r="Y42" s="13"/>
      <c r="Z42" s="13"/>
      <c r="AA42" s="279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2" ht="16.5" customHeight="1" x14ac:dyDescent="0.2">
      <c r="A43" s="278"/>
      <c r="B43" s="13" t="s">
        <v>29</v>
      </c>
      <c r="C43" s="27"/>
      <c r="D43" s="13"/>
      <c r="E43" s="13"/>
      <c r="F43" s="40" t="s">
        <v>89</v>
      </c>
      <c r="G43" s="878">
        <f>AD40</f>
        <v>2800000</v>
      </c>
      <c r="H43" s="878"/>
      <c r="I43" s="878"/>
      <c r="J43" s="878"/>
      <c r="K43" s="13"/>
      <c r="L43" s="13"/>
      <c r="M43" s="13"/>
      <c r="N43" s="13"/>
      <c r="O43" s="28"/>
      <c r="P43" s="28"/>
      <c r="Q43" s="28"/>
      <c r="R43" s="28"/>
      <c r="S43" s="28"/>
      <c r="T43" s="28"/>
      <c r="U43" s="620" t="str">
        <f>makan!U31</f>
        <v>CAMAT SUKOHARJO</v>
      </c>
      <c r="V43" s="13"/>
      <c r="W43" s="585"/>
      <c r="X43" s="13"/>
      <c r="Y43" s="13"/>
      <c r="Z43" s="13"/>
      <c r="AA43" s="279"/>
    </row>
    <row r="44" spans="1:42" ht="16.5" customHeight="1" x14ac:dyDescent="0.2">
      <c r="A44" s="278"/>
      <c r="B44" s="13" t="s">
        <v>30</v>
      </c>
      <c r="C44" s="27"/>
      <c r="D44" s="13"/>
      <c r="E44" s="13"/>
      <c r="F44" s="40" t="s">
        <v>89</v>
      </c>
      <c r="G44" s="878">
        <f>AF40</f>
        <v>1400000</v>
      </c>
      <c r="H44" s="878"/>
      <c r="I44" s="878"/>
      <c r="J44" s="878"/>
      <c r="K44" s="13"/>
      <c r="L44" s="13"/>
      <c r="M44" s="13"/>
      <c r="N44" s="13"/>
      <c r="O44" s="28"/>
      <c r="P44" s="28"/>
      <c r="Q44" s="28"/>
      <c r="R44" s="28"/>
      <c r="S44" s="28"/>
      <c r="T44" s="28"/>
      <c r="U44" s="620"/>
      <c r="V44" s="13"/>
      <c r="W44" s="585"/>
      <c r="X44" s="13"/>
      <c r="Y44" s="13"/>
      <c r="Z44" s="13"/>
      <c r="AA44" s="279"/>
    </row>
    <row r="45" spans="1:42" ht="15.75" customHeight="1" x14ac:dyDescent="0.2">
      <c r="A45" s="278"/>
      <c r="B45" s="13" t="s">
        <v>31</v>
      </c>
      <c r="C45" s="27"/>
      <c r="D45" s="13"/>
      <c r="E45" s="13"/>
      <c r="F45" s="40" t="s">
        <v>89</v>
      </c>
      <c r="G45" s="878">
        <f>AH40</f>
        <v>1900000</v>
      </c>
      <c r="H45" s="878"/>
      <c r="I45" s="878"/>
      <c r="J45" s="878"/>
      <c r="K45" s="13"/>
      <c r="L45" s="13"/>
      <c r="M45" s="13"/>
      <c r="N45" s="13"/>
      <c r="O45" s="28"/>
      <c r="P45" s="28"/>
      <c r="Q45" s="28"/>
      <c r="R45" s="28"/>
      <c r="S45" s="28"/>
      <c r="T45" s="28"/>
      <c r="U45" s="620"/>
      <c r="V45" s="13"/>
      <c r="W45" s="585"/>
      <c r="X45" s="13"/>
      <c r="Y45" s="13"/>
      <c r="Z45" s="13"/>
      <c r="AA45" s="279"/>
    </row>
    <row r="46" spans="1:42" ht="18.75" customHeight="1" x14ac:dyDescent="0.2">
      <c r="A46" s="278"/>
      <c r="B46" s="13" t="s">
        <v>32</v>
      </c>
      <c r="C46" s="30"/>
      <c r="D46" s="29"/>
      <c r="E46" s="13"/>
      <c r="F46" s="40" t="s">
        <v>89</v>
      </c>
      <c r="G46" s="878">
        <f>AJ40</f>
        <v>1400000</v>
      </c>
      <c r="H46" s="878"/>
      <c r="I46" s="878"/>
      <c r="J46" s="878"/>
      <c r="K46" s="13"/>
      <c r="L46" s="13"/>
      <c r="M46" s="13"/>
      <c r="N46" s="13"/>
      <c r="O46" s="31"/>
      <c r="P46" s="31"/>
      <c r="Q46" s="31"/>
      <c r="R46" s="31"/>
      <c r="S46" s="31"/>
      <c r="T46" s="31"/>
      <c r="U46" s="620"/>
      <c r="V46" s="13"/>
      <c r="W46" s="52"/>
      <c r="X46" s="13"/>
      <c r="Y46" s="13"/>
      <c r="Z46" s="13"/>
      <c r="AA46" s="279"/>
    </row>
    <row r="47" spans="1:42" ht="15" customHeight="1" thickBot="1" x14ac:dyDescent="0.25">
      <c r="A47" s="278"/>
      <c r="B47" s="13"/>
      <c r="C47" s="13"/>
      <c r="D47" s="62" t="s">
        <v>28</v>
      </c>
      <c r="E47" s="13"/>
      <c r="F47" s="40" t="s">
        <v>89</v>
      </c>
      <c r="G47" s="877">
        <f>SUM(G43:J46)</f>
        <v>7500000</v>
      </c>
      <c r="H47" s="877"/>
      <c r="I47" s="877"/>
      <c r="J47" s="87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52" t="str">
        <f>makan!U35</f>
        <v>DUDI WARDOYO, AP, M.M</v>
      </c>
      <c r="V47" s="13"/>
      <c r="W47" s="585"/>
      <c r="X47" s="13"/>
      <c r="Y47" s="34"/>
      <c r="Z47" s="34"/>
      <c r="AA47" s="280"/>
    </row>
    <row r="48" spans="1:42" ht="15" customHeight="1" thickTop="1" x14ac:dyDescent="0.2">
      <c r="A48" s="278"/>
      <c r="B48" s="13"/>
      <c r="C48" s="13"/>
      <c r="D48" s="62"/>
      <c r="E48" s="13"/>
      <c r="F48" s="40"/>
      <c r="G48" s="622"/>
      <c r="H48" s="622"/>
      <c r="I48" s="622"/>
      <c r="J48" s="62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620" t="str">
        <f>makan!U36</f>
        <v>Pembina Tk. I</v>
      </c>
      <c r="V48" s="13"/>
      <c r="W48" s="620"/>
      <c r="X48" s="13"/>
      <c r="Y48" s="34"/>
      <c r="Z48" s="34"/>
      <c r="AA48" s="280"/>
    </row>
    <row r="49" spans="1:38" ht="15" customHeight="1" x14ac:dyDescent="0.2">
      <c r="A49" s="278"/>
      <c r="B49" s="13"/>
      <c r="C49" s="13"/>
      <c r="D49" s="62"/>
      <c r="E49" s="13"/>
      <c r="F49" s="40"/>
      <c r="G49" s="622"/>
      <c r="H49" s="622"/>
      <c r="I49" s="622"/>
      <c r="J49" s="62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620" t="str">
        <f>makan!U37</f>
        <v>NIP. 19741009 199311 1 001</v>
      </c>
      <c r="V49" s="13"/>
      <c r="W49" s="620"/>
      <c r="X49" s="13"/>
      <c r="Y49" s="34"/>
      <c r="Z49" s="34"/>
      <c r="AA49" s="280"/>
    </row>
    <row r="50" spans="1:38" ht="2.25" customHeight="1" x14ac:dyDescent="0.2">
      <c r="A50" s="28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585"/>
      <c r="X50" s="10"/>
      <c r="Y50" s="10"/>
      <c r="Z50" s="10"/>
      <c r="AA50" s="282"/>
    </row>
    <row r="51" spans="1:38" s="138" customFormat="1" ht="18.75" customHeight="1" x14ac:dyDescent="0.2">
      <c r="A51" s="865" t="s">
        <v>194</v>
      </c>
      <c r="B51" s="866"/>
      <c r="C51" s="866"/>
      <c r="D51" s="866"/>
      <c r="E51" s="866"/>
      <c r="F51" s="866"/>
      <c r="G51" s="866"/>
      <c r="H51" s="866"/>
      <c r="I51" s="866"/>
      <c r="J51" s="866"/>
      <c r="K51" s="866"/>
      <c r="L51" s="866"/>
      <c r="M51" s="866"/>
      <c r="N51" s="866"/>
      <c r="O51" s="866"/>
      <c r="P51" s="866"/>
      <c r="Q51" s="866"/>
      <c r="R51" s="866"/>
      <c r="S51" s="519"/>
      <c r="T51" s="520"/>
      <c r="U51" s="520"/>
      <c r="V51" s="520"/>
      <c r="W51" s="520"/>
      <c r="X51" s="520"/>
      <c r="Y51" s="520"/>
      <c r="Z51" s="520"/>
      <c r="AA51" s="521"/>
      <c r="AD51" s="136"/>
      <c r="AG51" s="136"/>
      <c r="AI51" s="136"/>
      <c r="AL51" s="136"/>
    </row>
    <row r="52" spans="1:38" s="138" customFormat="1" ht="3.75" hidden="1" customHeight="1" x14ac:dyDescent="0.2">
      <c r="A52" s="382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516"/>
      <c r="T52" s="151"/>
      <c r="U52" s="151"/>
      <c r="V52" s="151"/>
      <c r="W52" s="151"/>
      <c r="X52" s="151"/>
      <c r="Y52" s="151"/>
      <c r="Z52" s="151"/>
      <c r="AA52" s="518"/>
      <c r="AD52" s="136"/>
      <c r="AG52" s="136"/>
      <c r="AI52" s="136"/>
      <c r="AL52" s="136"/>
    </row>
    <row r="53" spans="1:38" ht="14.25" customHeight="1" x14ac:dyDescent="0.2">
      <c r="A53" s="27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2"/>
      <c r="T53" s="13"/>
      <c r="U53" s="13"/>
      <c r="V53" s="13"/>
      <c r="W53" s="585" t="str">
        <f>makan!W40</f>
        <v>Wonosobo,        Januari 2019</v>
      </c>
      <c r="X53" s="13"/>
      <c r="Y53" s="13"/>
      <c r="Z53" s="13"/>
      <c r="AA53" s="279"/>
    </row>
    <row r="54" spans="1:38" ht="4.5" customHeight="1" x14ac:dyDescent="0.2">
      <c r="A54" s="27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2"/>
      <c r="T54" s="13"/>
      <c r="U54" s="13"/>
      <c r="V54" s="13"/>
      <c r="W54" s="585"/>
      <c r="X54" s="13"/>
      <c r="Y54" s="13"/>
      <c r="Z54" s="13"/>
      <c r="AA54" s="279"/>
    </row>
    <row r="55" spans="1:38" ht="13.5" customHeight="1" x14ac:dyDescent="0.2">
      <c r="A55" s="283"/>
      <c r="B55" s="26" t="s">
        <v>34</v>
      </c>
      <c r="C55" s="13" t="str">
        <f>makan!C42</f>
        <v>RIDWAN SETIA N, S.Kom</v>
      </c>
      <c r="D55" s="13"/>
      <c r="E55" s="13"/>
      <c r="F55" s="47"/>
      <c r="G55" s="47"/>
      <c r="H55" s="13"/>
      <c r="K55" s="64" t="s">
        <v>34</v>
      </c>
      <c r="L55" s="47" t="s">
        <v>196</v>
      </c>
      <c r="M55" s="47"/>
      <c r="N55" s="47"/>
      <c r="O55" s="13"/>
      <c r="P55" s="13"/>
      <c r="Q55" s="13"/>
      <c r="R55" s="47"/>
      <c r="S55" s="522"/>
      <c r="T55" s="47"/>
      <c r="U55" s="13"/>
      <c r="V55" s="13"/>
      <c r="W55" s="585" t="s">
        <v>33</v>
      </c>
      <c r="X55" s="13"/>
      <c r="Y55" s="13"/>
      <c r="Z55" s="13"/>
      <c r="AA55" s="279"/>
    </row>
    <row r="56" spans="1:38" ht="15" customHeight="1" x14ac:dyDescent="0.2">
      <c r="A56" s="283"/>
      <c r="B56" s="26"/>
      <c r="C56" s="13"/>
      <c r="D56" s="13"/>
      <c r="E56" s="13"/>
      <c r="F56" s="13"/>
      <c r="G56" s="13"/>
      <c r="H56" s="13"/>
      <c r="K56" s="13"/>
      <c r="L56" s="13"/>
      <c r="M56" s="13"/>
      <c r="N56" s="13"/>
      <c r="O56" s="13"/>
      <c r="P56" s="13"/>
      <c r="Q56" s="13"/>
      <c r="R56" s="13"/>
      <c r="S56" s="12"/>
      <c r="T56" s="13"/>
      <c r="U56" s="13"/>
      <c r="V56" s="13"/>
      <c r="W56" s="585" t="s">
        <v>85</v>
      </c>
      <c r="X56" s="13"/>
      <c r="Y56" s="13"/>
      <c r="Z56" s="13"/>
      <c r="AA56" s="279"/>
    </row>
    <row r="57" spans="1:38" ht="18.75" customHeight="1" x14ac:dyDescent="0.2">
      <c r="A57" s="283"/>
      <c r="D57" s="13"/>
      <c r="E57" s="13"/>
      <c r="F57" s="47"/>
      <c r="G57" s="47"/>
      <c r="H57" s="13"/>
      <c r="K57" s="47"/>
      <c r="L57" s="47"/>
      <c r="O57" s="13"/>
      <c r="P57" s="13"/>
      <c r="Q57" s="13"/>
      <c r="R57" s="47"/>
      <c r="S57" s="522"/>
      <c r="T57" s="47"/>
      <c r="U57" s="13"/>
      <c r="V57" s="13"/>
      <c r="W57" s="65"/>
      <c r="X57" s="13"/>
      <c r="Y57" s="13"/>
      <c r="Z57" s="13"/>
      <c r="AA57" s="279"/>
    </row>
    <row r="58" spans="1:38" ht="16.5" customHeight="1" x14ac:dyDescent="0.2">
      <c r="A58" s="278"/>
      <c r="B58" s="26" t="s">
        <v>35</v>
      </c>
      <c r="C58" s="13" t="str">
        <f>makan!C45</f>
        <v>SABAR KHOIRI</v>
      </c>
      <c r="D58" s="44"/>
      <c r="E58" s="44"/>
      <c r="F58" s="44"/>
      <c r="G58" s="44"/>
      <c r="H58" s="13"/>
      <c r="K58" s="64" t="s">
        <v>35</v>
      </c>
      <c r="L58" s="47" t="s">
        <v>196</v>
      </c>
      <c r="M58" s="44"/>
      <c r="N58" s="44"/>
      <c r="O58" s="13"/>
      <c r="P58" s="13"/>
      <c r="Q58" s="13"/>
      <c r="R58" s="44"/>
      <c r="S58" s="46"/>
      <c r="T58" s="44"/>
      <c r="U58" s="44"/>
      <c r="V58" s="44"/>
      <c r="W58" s="585"/>
      <c r="X58" s="44"/>
      <c r="Y58" s="44"/>
      <c r="Z58" s="44"/>
      <c r="AA58" s="284"/>
    </row>
    <row r="59" spans="1:38" s="583" customFormat="1" ht="18.75" customHeight="1" x14ac:dyDescent="0.2">
      <c r="A59" s="285"/>
      <c r="B59" s="26"/>
      <c r="C59" s="13"/>
      <c r="D59" s="13"/>
      <c r="E59" s="13"/>
      <c r="F59" s="585"/>
      <c r="G59" s="585"/>
      <c r="H59" s="585"/>
      <c r="K59" s="64"/>
      <c r="L59" s="47"/>
      <c r="M59" s="585"/>
      <c r="N59" s="585"/>
      <c r="O59" s="585"/>
      <c r="P59" s="585"/>
      <c r="Q59" s="585"/>
      <c r="R59" s="585"/>
      <c r="S59" s="36"/>
      <c r="T59" s="585"/>
      <c r="U59" s="66"/>
      <c r="V59" s="66"/>
      <c r="W59" s="52" t="str">
        <f>makan!W46</f>
        <v>Drs. M. KRISTIJADI, M.Si</v>
      </c>
      <c r="X59" s="66"/>
      <c r="Y59" s="66"/>
      <c r="Z59" s="13"/>
      <c r="AA59" s="279"/>
    </row>
    <row r="60" spans="1:38" s="583" customFormat="1" ht="12" customHeight="1" x14ac:dyDescent="0.2">
      <c r="A60" s="285"/>
      <c r="B60" s="26"/>
      <c r="C60" s="13"/>
      <c r="D60" s="13"/>
      <c r="E60" s="13"/>
      <c r="F60" s="585"/>
      <c r="G60" s="585"/>
      <c r="H60" s="585"/>
      <c r="I60" s="64"/>
      <c r="J60" s="47"/>
      <c r="K60" s="585"/>
      <c r="L60" s="585"/>
      <c r="M60" s="585"/>
      <c r="N60" s="585"/>
      <c r="O60" s="585"/>
      <c r="P60" s="585"/>
      <c r="Q60" s="585"/>
      <c r="R60" s="585"/>
      <c r="S60" s="36"/>
      <c r="T60" s="585"/>
      <c r="U60" s="66"/>
      <c r="V60" s="66"/>
      <c r="W60" s="585" t="str">
        <f>makan!W47</f>
        <v>Pembina Utama Muda</v>
      </c>
      <c r="X60" s="66"/>
      <c r="Y60" s="66"/>
      <c r="Z60" s="13"/>
      <c r="AA60" s="279"/>
    </row>
    <row r="61" spans="1:38" s="583" customFormat="1" ht="18.75" customHeight="1" x14ac:dyDescent="0.2">
      <c r="A61" s="285"/>
      <c r="B61" s="585"/>
      <c r="C61" s="585"/>
      <c r="D61" s="585"/>
      <c r="E61" s="585"/>
      <c r="F61" s="585"/>
      <c r="G61" s="26"/>
      <c r="H61" s="13"/>
      <c r="I61" s="13"/>
      <c r="J61" s="13"/>
      <c r="K61" s="585"/>
      <c r="L61" s="585"/>
      <c r="M61" s="585"/>
      <c r="N61" s="64"/>
      <c r="O61" s="47"/>
      <c r="P61" s="585"/>
      <c r="Q61" s="585"/>
      <c r="R61" s="585"/>
      <c r="S61" s="36"/>
      <c r="T61" s="585"/>
      <c r="U61" s="66"/>
      <c r="V61" s="66"/>
      <c r="W61" s="585" t="str">
        <f>makan!W48</f>
        <v>NIP. 19681226 199403 1 005</v>
      </c>
      <c r="X61" s="66"/>
      <c r="Y61" s="66"/>
      <c r="Z61" s="13"/>
      <c r="AA61" s="279"/>
    </row>
    <row r="62" spans="1:38" ht="3.75" customHeight="1" thickBot="1" x14ac:dyDescent="0.25">
      <c r="A62" s="286"/>
      <c r="B62" s="287"/>
      <c r="C62" s="287"/>
      <c r="D62" s="287"/>
      <c r="E62" s="287"/>
      <c r="F62" s="287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524"/>
      <c r="T62" s="288"/>
      <c r="U62" s="288"/>
      <c r="V62" s="288"/>
      <c r="W62" s="289"/>
      <c r="X62" s="288"/>
      <c r="Y62" s="288"/>
      <c r="Z62" s="288"/>
      <c r="AA62" s="290"/>
    </row>
    <row r="63" spans="1:38" ht="17.25" thickTop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</sheetData>
  <mergeCells count="123">
    <mergeCell ref="AN38:AO38"/>
    <mergeCell ref="R25:S25"/>
    <mergeCell ref="T25:U25"/>
    <mergeCell ref="V25:X25"/>
    <mergeCell ref="Y25:AA25"/>
    <mergeCell ref="R36:S36"/>
    <mergeCell ref="T36:U36"/>
    <mergeCell ref="V36:X36"/>
    <mergeCell ref="Y36:AA36"/>
    <mergeCell ref="R35:S35"/>
    <mergeCell ref="T35:U35"/>
    <mergeCell ref="V35:X35"/>
    <mergeCell ref="Y35:AA35"/>
    <mergeCell ref="AJ30:AK30"/>
    <mergeCell ref="AL30:AM30"/>
    <mergeCell ref="AL35:AM35"/>
    <mergeCell ref="AL36:AM36"/>
    <mergeCell ref="AN36:AO36"/>
    <mergeCell ref="AN30:AO30"/>
    <mergeCell ref="R26:S26"/>
    <mergeCell ref="T26:U26"/>
    <mergeCell ref="V26:X26"/>
    <mergeCell ref="Y26:AA26"/>
    <mergeCell ref="R30:S30"/>
    <mergeCell ref="M5:AA5"/>
    <mergeCell ref="A12:AA12"/>
    <mergeCell ref="A13:F13"/>
    <mergeCell ref="G13:X13"/>
    <mergeCell ref="Y13:AA13"/>
    <mergeCell ref="Y14:AA14"/>
    <mergeCell ref="R24:S24"/>
    <mergeCell ref="T24:U24"/>
    <mergeCell ref="V24:X24"/>
    <mergeCell ref="Y24:AA24"/>
    <mergeCell ref="A1:Q1"/>
    <mergeCell ref="R1:X1"/>
    <mergeCell ref="Y1:AA2"/>
    <mergeCell ref="A2:Q2"/>
    <mergeCell ref="A3:AA3"/>
    <mergeCell ref="A4:AA4"/>
    <mergeCell ref="T22:U22"/>
    <mergeCell ref="V22:X22"/>
    <mergeCell ref="A23:J23"/>
    <mergeCell ref="K23:Q23"/>
    <mergeCell ref="R23:S23"/>
    <mergeCell ref="T23:U23"/>
    <mergeCell ref="V23:X23"/>
    <mergeCell ref="Y15:AA15"/>
    <mergeCell ref="Y16:AA16"/>
    <mergeCell ref="Y17:AA17"/>
    <mergeCell ref="A19:AA19"/>
    <mergeCell ref="A20:AA20"/>
    <mergeCell ref="A21:J22"/>
    <mergeCell ref="K21:Q22"/>
    <mergeCell ref="R21:X21"/>
    <mergeCell ref="Y21:AA22"/>
    <mergeCell ref="R22:S22"/>
    <mergeCell ref="Y23:AA23"/>
    <mergeCell ref="AL37:AM37"/>
    <mergeCell ref="AN37:AO37"/>
    <mergeCell ref="AN35:AO35"/>
    <mergeCell ref="AJ35:AK35"/>
    <mergeCell ref="AD35:AE35"/>
    <mergeCell ref="AF35:AG35"/>
    <mergeCell ref="AD36:AE36"/>
    <mergeCell ref="AF36:AG36"/>
    <mergeCell ref="AH36:AI36"/>
    <mergeCell ref="AH35:AI35"/>
    <mergeCell ref="AD37:AE37"/>
    <mergeCell ref="AF37:AG37"/>
    <mergeCell ref="AH37:AI37"/>
    <mergeCell ref="AN40:AO40"/>
    <mergeCell ref="AD41:AG41"/>
    <mergeCell ref="AH41:AI41"/>
    <mergeCell ref="G43:J43"/>
    <mergeCell ref="G44:J44"/>
    <mergeCell ref="AH39:AI39"/>
    <mergeCell ref="AL39:AM39"/>
    <mergeCell ref="AN39:AO39"/>
    <mergeCell ref="R40:S40"/>
    <mergeCell ref="T40:U40"/>
    <mergeCell ref="V40:X40"/>
    <mergeCell ref="Y40:AA40"/>
    <mergeCell ref="AD40:AE40"/>
    <mergeCell ref="AF40:AG40"/>
    <mergeCell ref="AH40:AI40"/>
    <mergeCell ref="R39:S39"/>
    <mergeCell ref="T39:U39"/>
    <mergeCell ref="V39:X39"/>
    <mergeCell ref="Y39:AA39"/>
    <mergeCell ref="AD39:AE39"/>
    <mergeCell ref="AF39:AG39"/>
    <mergeCell ref="AJ40:AK40"/>
    <mergeCell ref="AD38:AE38"/>
    <mergeCell ref="AF38:AG38"/>
    <mergeCell ref="AJ38:AK38"/>
    <mergeCell ref="AH38:AI38"/>
    <mergeCell ref="G45:J45"/>
    <mergeCell ref="G46:J46"/>
    <mergeCell ref="G47:J47"/>
    <mergeCell ref="A51:R51"/>
    <mergeCell ref="AL40:AM40"/>
    <mergeCell ref="R38:S38"/>
    <mergeCell ref="T38:U38"/>
    <mergeCell ref="V38:X38"/>
    <mergeCell ref="Y38:AA38"/>
    <mergeCell ref="AJ34:AK34"/>
    <mergeCell ref="AN34:AO34"/>
    <mergeCell ref="R34:S34"/>
    <mergeCell ref="T34:U34"/>
    <mergeCell ref="V34:X34"/>
    <mergeCell ref="Y34:AA34"/>
    <mergeCell ref="Y28:AA28"/>
    <mergeCell ref="Y31:AA31"/>
    <mergeCell ref="AD34:AE34"/>
    <mergeCell ref="AF34:AG34"/>
    <mergeCell ref="AH34:AI34"/>
    <mergeCell ref="T30:U30"/>
    <mergeCell ref="V30:X30"/>
    <mergeCell ref="Y30:AA30"/>
    <mergeCell ref="AD30:AE30"/>
    <mergeCell ref="AF30:AG30"/>
    <mergeCell ref="AH30:AI30"/>
  </mergeCells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9"/>
  <sheetViews>
    <sheetView showGridLines="0" view="pageBreakPreview" topLeftCell="A3" workbookViewId="0">
      <selection activeCell="A12" sqref="A12:AA12"/>
    </sheetView>
  </sheetViews>
  <sheetFormatPr defaultColWidth="4.42578125" defaultRowHeight="16.5" x14ac:dyDescent="0.2"/>
  <cols>
    <col min="1" max="8" width="3.7109375" style="15" customWidth="1"/>
    <col min="9" max="9" width="4.140625" style="15" customWidth="1"/>
    <col min="10" max="10" width="3.7109375" style="15" customWidth="1"/>
    <col min="11" max="20" width="4.42578125" style="15" customWidth="1"/>
    <col min="21" max="21" width="4" style="15" customWidth="1"/>
    <col min="22" max="22" width="4.42578125" style="15" customWidth="1"/>
    <col min="23" max="23" width="4.140625" style="15" customWidth="1"/>
    <col min="24" max="26" width="4.42578125" style="15" customWidth="1"/>
    <col min="27" max="27" width="3.140625" style="15" customWidth="1"/>
    <col min="28" max="28" width="1.42578125" style="15" customWidth="1"/>
    <col min="29" max="29" width="2.42578125" style="15" customWidth="1"/>
    <col min="30" max="41" width="5" style="15" customWidth="1"/>
    <col min="42" max="42" width="13.7109375" style="15" customWidth="1"/>
    <col min="43" max="16384" width="4.42578125" style="15"/>
  </cols>
  <sheetData>
    <row r="1" spans="1:40" ht="20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4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19</v>
      </c>
      <c r="W2" s="56" t="s">
        <v>40</v>
      </c>
      <c r="X2" s="56" t="s">
        <v>41</v>
      </c>
      <c r="Y2" s="777"/>
      <c r="Z2" s="778"/>
      <c r="AA2" s="779"/>
    </row>
    <row r="3" spans="1:40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40" ht="15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40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40" ht="18" customHeight="1" x14ac:dyDescent="0.2">
      <c r="A6" s="266" t="s">
        <v>19</v>
      </c>
      <c r="B6" s="119"/>
      <c r="C6" s="119"/>
      <c r="D6" s="119"/>
      <c r="E6" s="119"/>
      <c r="F6" s="119"/>
      <c r="G6" s="683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40" ht="18" customHeight="1" x14ac:dyDescent="0.2">
      <c r="A7" s="266" t="s">
        <v>20</v>
      </c>
      <c r="B7" s="119"/>
      <c r="C7" s="119"/>
      <c r="D7" s="119"/>
      <c r="E7" s="119"/>
      <c r="F7" s="119"/>
      <c r="G7" s="683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40" ht="18" customHeight="1" x14ac:dyDescent="0.2">
      <c r="A8" s="268" t="s">
        <v>21</v>
      </c>
      <c r="B8" s="120"/>
      <c r="C8" s="120"/>
      <c r="D8" s="120"/>
      <c r="E8" s="120"/>
      <c r="F8" s="120"/>
      <c r="G8" s="683" t="s">
        <v>89</v>
      </c>
      <c r="H8" s="61" t="s">
        <v>328</v>
      </c>
      <c r="I8" s="61"/>
      <c r="J8" s="61"/>
      <c r="K8" s="61" t="s">
        <v>44</v>
      </c>
      <c r="L8" s="61" t="s">
        <v>96</v>
      </c>
      <c r="M8" s="16" t="s">
        <v>106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40" ht="18" customHeight="1" x14ac:dyDescent="0.2">
      <c r="A9" s="268" t="s">
        <v>22</v>
      </c>
      <c r="B9" s="120"/>
      <c r="C9" s="120"/>
      <c r="D9" s="120"/>
      <c r="E9" s="120"/>
      <c r="F9" s="120"/>
      <c r="G9" s="683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40" ht="18" customHeight="1" x14ac:dyDescent="0.2">
      <c r="A10" s="268" t="s">
        <v>23</v>
      </c>
      <c r="B10" s="120"/>
      <c r="C10" s="120"/>
      <c r="D10" s="120"/>
      <c r="E10" s="120"/>
      <c r="F10" s="120"/>
      <c r="G10" s="683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40" ht="18" customHeight="1" x14ac:dyDescent="0.2">
      <c r="A11" s="268" t="s">
        <v>24</v>
      </c>
      <c r="B11" s="120"/>
      <c r="C11" s="120"/>
      <c r="D11" s="120"/>
      <c r="E11" s="120"/>
      <c r="F11" s="120"/>
      <c r="G11" s="683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40" ht="18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F12" s="50"/>
      <c r="AH12" s="50"/>
      <c r="AL12" s="50"/>
      <c r="AN12" s="50"/>
    </row>
    <row r="13" spans="1:40" ht="18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40" ht="18" customHeight="1" x14ac:dyDescent="0.2">
      <c r="A14" s="266" t="s">
        <v>14</v>
      </c>
      <c r="B14" s="119"/>
      <c r="C14" s="119"/>
      <c r="D14" s="119"/>
      <c r="E14" s="119"/>
      <c r="F14" s="17"/>
      <c r="G14" s="21" t="s">
        <v>142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  <c r="AF14" s="50"/>
      <c r="AH14" s="50"/>
      <c r="AL14" s="50"/>
      <c r="AN14" s="50"/>
    </row>
    <row r="15" spans="1:40" ht="18" customHeight="1" x14ac:dyDescent="0.2">
      <c r="A15" s="266" t="s">
        <v>15</v>
      </c>
      <c r="B15" s="119"/>
      <c r="C15" s="119"/>
      <c r="D15" s="119"/>
      <c r="E15" s="119"/>
      <c r="F15" s="17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7260000</v>
      </c>
      <c r="Z15" s="892"/>
      <c r="AA15" s="893"/>
      <c r="AD15" s="51"/>
      <c r="AF15" s="51"/>
      <c r="AH15" s="51"/>
      <c r="AL15" s="51"/>
      <c r="AN15" s="51"/>
    </row>
    <row r="16" spans="1:40" ht="18" customHeight="1" x14ac:dyDescent="0.2">
      <c r="A16" s="266" t="s">
        <v>16</v>
      </c>
      <c r="B16" s="119"/>
      <c r="C16" s="119"/>
      <c r="D16" s="119"/>
      <c r="E16" s="119"/>
      <c r="F16" s="17"/>
      <c r="G16" s="21" t="s">
        <v>143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42" ht="18" customHeight="1" x14ac:dyDescent="0.2">
      <c r="A17" s="266" t="s">
        <v>17</v>
      </c>
      <c r="B17" s="119"/>
      <c r="C17" s="119"/>
      <c r="D17" s="119"/>
      <c r="E17" s="119"/>
      <c r="F17" s="17"/>
      <c r="G17" s="21" t="s">
        <v>143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  <c r="AF17" s="51"/>
      <c r="AH17" s="51"/>
      <c r="AL17" s="51"/>
      <c r="AN17" s="51"/>
    </row>
    <row r="18" spans="1:42" ht="18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F18" s="51"/>
      <c r="AH18" s="51"/>
      <c r="AL18" s="51"/>
      <c r="AN18" s="51"/>
    </row>
    <row r="19" spans="1:42" ht="15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42" ht="1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F20" s="48"/>
      <c r="AH20" s="48"/>
      <c r="AL20" s="48"/>
      <c r="AN20" s="48"/>
    </row>
    <row r="21" spans="1:42" ht="15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42" ht="15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42" ht="16.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42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96</v>
      </c>
      <c r="F24" s="83" t="s">
        <v>40</v>
      </c>
      <c r="G24" s="83" t="s">
        <v>41</v>
      </c>
      <c r="H24" s="83" t="s">
        <v>41</v>
      </c>
      <c r="I24" s="83"/>
      <c r="J24" s="83"/>
      <c r="K24" s="84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7260000</v>
      </c>
      <c r="Z24" s="918"/>
      <c r="AA24" s="948"/>
    </row>
    <row r="25" spans="1:42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96</v>
      </c>
      <c r="F25" s="82" t="s">
        <v>40</v>
      </c>
      <c r="G25" s="82" t="s">
        <v>41</v>
      </c>
      <c r="H25" s="82" t="s">
        <v>41</v>
      </c>
      <c r="I25" s="82" t="s">
        <v>67</v>
      </c>
      <c r="J25" s="82"/>
      <c r="K25" s="79" t="s">
        <v>68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7260000</v>
      </c>
      <c r="Z25" s="918"/>
      <c r="AA25" s="948"/>
    </row>
    <row r="26" spans="1:42" ht="18.75" customHeight="1" x14ac:dyDescent="0.2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96</v>
      </c>
      <c r="F26" s="25" t="s">
        <v>40</v>
      </c>
      <c r="G26" s="25" t="s">
        <v>41</v>
      </c>
      <c r="H26" s="25" t="s">
        <v>41</v>
      </c>
      <c r="I26" s="25" t="s">
        <v>67</v>
      </c>
      <c r="J26" s="25" t="s">
        <v>44</v>
      </c>
      <c r="K26" s="24" t="s">
        <v>69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SUM(Y27:AA32)</f>
        <v>7260000</v>
      </c>
      <c r="Z26" s="871"/>
      <c r="AA26" s="930"/>
      <c r="AD26" s="48"/>
      <c r="AF26" s="48"/>
      <c r="AH26" s="48"/>
      <c r="AL26" s="48"/>
      <c r="AN26" s="48"/>
    </row>
    <row r="27" spans="1:42" ht="18.75" customHeight="1" x14ac:dyDescent="0.3">
      <c r="A27" s="271"/>
      <c r="B27" s="25"/>
      <c r="C27" s="25"/>
      <c r="D27" s="25"/>
      <c r="E27" s="25"/>
      <c r="F27" s="25"/>
      <c r="G27" s="25"/>
      <c r="H27" s="25"/>
      <c r="I27" s="25"/>
      <c r="J27" s="25"/>
      <c r="K27" s="200" t="s">
        <v>414</v>
      </c>
      <c r="L27" s="60"/>
      <c r="M27" s="57"/>
      <c r="N27" s="60"/>
      <c r="O27" s="57"/>
      <c r="P27" s="60"/>
      <c r="Q27" s="60"/>
      <c r="R27" s="983">
        <v>39</v>
      </c>
      <c r="S27" s="984"/>
      <c r="T27" s="983" t="s">
        <v>209</v>
      </c>
      <c r="U27" s="984"/>
      <c r="V27" s="979">
        <v>100000</v>
      </c>
      <c r="W27" s="980"/>
      <c r="X27" s="981"/>
      <c r="Y27" s="832">
        <f>V27*R27</f>
        <v>3900000</v>
      </c>
      <c r="Z27" s="833"/>
      <c r="AA27" s="966"/>
      <c r="AB27" s="138"/>
      <c r="AD27" s="1141">
        <f>V27*10</f>
        <v>1000000</v>
      </c>
      <c r="AE27" s="1141"/>
      <c r="AF27" s="1141">
        <f>V27*10</f>
        <v>1000000</v>
      </c>
      <c r="AG27" s="1141"/>
      <c r="AH27" s="1141">
        <f>V27*9</f>
        <v>900000</v>
      </c>
      <c r="AI27" s="1141"/>
      <c r="AJ27" s="1141">
        <f>V27*10</f>
        <v>1000000</v>
      </c>
      <c r="AK27" s="1141"/>
      <c r="AL27" s="1141">
        <f>SUM(AD27:AK27)</f>
        <v>3900000</v>
      </c>
      <c r="AM27" s="1143"/>
      <c r="AN27" s="1142"/>
      <c r="AO27" s="1141"/>
      <c r="AP27" s="48">
        <f>3*V27</f>
        <v>300000</v>
      </c>
    </row>
    <row r="28" spans="1:42" ht="16.5" customHeight="1" x14ac:dyDescent="0.3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335" t="s">
        <v>415</v>
      </c>
      <c r="L28" s="60"/>
      <c r="M28" s="57"/>
      <c r="N28" s="60"/>
      <c r="O28" s="57"/>
      <c r="P28" s="60"/>
      <c r="Q28" s="60"/>
      <c r="R28" s="983">
        <v>21</v>
      </c>
      <c r="S28" s="984"/>
      <c r="T28" s="983" t="s">
        <v>209</v>
      </c>
      <c r="U28" s="984"/>
      <c r="V28" s="979">
        <v>80000</v>
      </c>
      <c r="W28" s="980"/>
      <c r="X28" s="981"/>
      <c r="Y28" s="832">
        <f>V28*R28</f>
        <v>1680000</v>
      </c>
      <c r="Z28" s="833"/>
      <c r="AA28" s="966"/>
      <c r="AB28" s="152"/>
      <c r="AD28" s="1141">
        <f>V28*5</f>
        <v>400000</v>
      </c>
      <c r="AE28" s="1141"/>
      <c r="AF28" s="1141">
        <f>V28*5</f>
        <v>400000</v>
      </c>
      <c r="AG28" s="1141"/>
      <c r="AH28" s="1141">
        <f>V28*5</f>
        <v>400000</v>
      </c>
      <c r="AI28" s="1141"/>
      <c r="AJ28" s="1141">
        <f>V28*6</f>
        <v>480000</v>
      </c>
      <c r="AK28" s="1141"/>
      <c r="AL28" s="1141">
        <f t="shared" ref="AL28:AL29" si="0">SUM(AD28:AK28)</f>
        <v>1680000</v>
      </c>
      <c r="AM28" s="1143"/>
      <c r="AN28" s="1142"/>
      <c r="AO28" s="1141"/>
      <c r="AP28" s="48"/>
    </row>
    <row r="29" spans="1:42" ht="18.75" customHeight="1" x14ac:dyDescent="0.3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335" t="s">
        <v>416</v>
      </c>
      <c r="L29" s="60"/>
      <c r="M29" s="57"/>
      <c r="N29" s="60"/>
      <c r="O29" s="57"/>
      <c r="P29" s="60"/>
      <c r="Q29" s="60"/>
      <c r="R29" s="1131">
        <v>24</v>
      </c>
      <c r="S29" s="1132"/>
      <c r="T29" s="1131" t="s">
        <v>209</v>
      </c>
      <c r="U29" s="1132"/>
      <c r="V29" s="1133">
        <v>70000</v>
      </c>
      <c r="W29" s="1134"/>
      <c r="X29" s="1135"/>
      <c r="Y29" s="870">
        <f>V29*R29</f>
        <v>1680000</v>
      </c>
      <c r="Z29" s="871"/>
      <c r="AA29" s="930"/>
      <c r="AB29" s="152"/>
      <c r="AD29" s="1141">
        <f>V29*6</f>
        <v>420000</v>
      </c>
      <c r="AE29" s="1141"/>
      <c r="AF29" s="1141">
        <f>V29*6</f>
        <v>420000</v>
      </c>
      <c r="AG29" s="1141"/>
      <c r="AH29" s="1141">
        <f>V29*6</f>
        <v>420000</v>
      </c>
      <c r="AI29" s="1141"/>
      <c r="AJ29" s="1141">
        <f>V29*6</f>
        <v>420000</v>
      </c>
      <c r="AK29" s="1141"/>
      <c r="AL29" s="1141">
        <f t="shared" si="0"/>
        <v>1680000</v>
      </c>
      <c r="AM29" s="1143"/>
      <c r="AN29" s="1142"/>
      <c r="AO29" s="1141"/>
      <c r="AP29" s="48">
        <f>12*40000</f>
        <v>480000</v>
      </c>
    </row>
    <row r="30" spans="1:42" ht="18.75" customHeight="1" x14ac:dyDescent="0.3">
      <c r="A30" s="271"/>
      <c r="B30" s="25"/>
      <c r="C30" s="25"/>
      <c r="D30" s="25"/>
      <c r="E30" s="25"/>
      <c r="F30" s="25"/>
      <c r="G30" s="25"/>
      <c r="H30" s="25"/>
      <c r="I30" s="25"/>
      <c r="J30" s="25"/>
      <c r="K30" s="200"/>
      <c r="L30" s="60"/>
      <c r="M30" s="57"/>
      <c r="N30" s="60"/>
      <c r="O30" s="57"/>
      <c r="P30" s="60"/>
      <c r="Q30" s="60"/>
      <c r="R30" s="1131"/>
      <c r="S30" s="1132"/>
      <c r="T30" s="1131"/>
      <c r="U30" s="1132"/>
      <c r="V30" s="1149"/>
      <c r="W30" s="1150"/>
      <c r="X30" s="1151"/>
      <c r="Y30" s="870"/>
      <c r="Z30" s="871"/>
      <c r="AA30" s="930"/>
      <c r="AB30" s="138"/>
      <c r="AD30" s="1141"/>
      <c r="AE30" s="1141"/>
      <c r="AF30" s="1141"/>
      <c r="AG30" s="1141"/>
      <c r="AH30" s="1141"/>
      <c r="AI30" s="1141"/>
      <c r="AJ30" s="506"/>
      <c r="AK30" s="506"/>
      <c r="AL30" s="1141"/>
      <c r="AM30" s="1141"/>
      <c r="AN30" s="1142"/>
      <c r="AO30" s="1141"/>
      <c r="AP30" s="48"/>
    </row>
    <row r="31" spans="1:42" ht="18.75" customHeight="1" x14ac:dyDescent="0.3">
      <c r="A31" s="274"/>
      <c r="B31" s="69"/>
      <c r="C31" s="69"/>
      <c r="D31" s="69"/>
      <c r="E31" s="69"/>
      <c r="F31" s="69"/>
      <c r="G31" s="69"/>
      <c r="H31" s="69"/>
      <c r="I31" s="69"/>
      <c r="J31" s="69"/>
      <c r="K31" s="628"/>
      <c r="L31" s="60"/>
      <c r="M31" s="57"/>
      <c r="N31" s="60"/>
      <c r="O31" s="57"/>
      <c r="P31" s="60"/>
      <c r="Q31" s="60"/>
      <c r="R31" s="700"/>
      <c r="S31" s="701"/>
      <c r="T31" s="700"/>
      <c r="U31" s="701"/>
      <c r="V31" s="115"/>
      <c r="W31" s="116"/>
      <c r="X31" s="117"/>
      <c r="Y31" s="681"/>
      <c r="Z31" s="682"/>
      <c r="AA31" s="685"/>
      <c r="AB31" s="138"/>
      <c r="AD31" s="1143"/>
      <c r="AE31" s="1144"/>
      <c r="AF31" s="1143"/>
      <c r="AG31" s="1144"/>
      <c r="AH31" s="1143"/>
      <c r="AI31" s="1144"/>
      <c r="AJ31" s="504"/>
      <c r="AK31" s="504"/>
      <c r="AL31" s="1143"/>
      <c r="AM31" s="1144"/>
      <c r="AN31" s="1143"/>
      <c r="AO31" s="1144"/>
    </row>
    <row r="32" spans="1:42" ht="18.75" customHeight="1" thickBot="1" x14ac:dyDescent="0.35">
      <c r="A32" s="275"/>
      <c r="B32" s="85"/>
      <c r="C32" s="85"/>
      <c r="D32" s="85"/>
      <c r="E32" s="85"/>
      <c r="F32" s="85"/>
      <c r="G32" s="85"/>
      <c r="H32" s="85"/>
      <c r="I32" s="85"/>
      <c r="J32" s="85"/>
      <c r="K32" s="87"/>
      <c r="L32" s="57"/>
      <c r="M32" s="57"/>
      <c r="N32" s="57"/>
      <c r="O32" s="57"/>
      <c r="P32" s="57"/>
      <c r="Q32" s="57"/>
      <c r="R32" s="1129"/>
      <c r="S32" s="1130"/>
      <c r="T32" s="1129"/>
      <c r="U32" s="1130"/>
      <c r="V32" s="1138"/>
      <c r="W32" s="1139"/>
      <c r="X32" s="1140"/>
      <c r="Y32" s="870"/>
      <c r="Z32" s="871"/>
      <c r="AA32" s="930"/>
      <c r="AB32" s="152"/>
      <c r="AC32" s="90"/>
      <c r="AD32" s="1147">
        <f>3*V32</f>
        <v>0</v>
      </c>
      <c r="AE32" s="1147"/>
      <c r="AF32" s="1147"/>
      <c r="AG32" s="1147"/>
      <c r="AH32" s="1147">
        <v>0</v>
      </c>
      <c r="AI32" s="1147"/>
      <c r="AJ32" s="505"/>
      <c r="AK32" s="505"/>
      <c r="AL32" s="1147">
        <v>0</v>
      </c>
      <c r="AM32" s="1147"/>
      <c r="AN32" s="1148"/>
      <c r="AO32" s="1147"/>
    </row>
    <row r="33" spans="1:42" ht="15.75" customHeight="1" thickTop="1" x14ac:dyDescent="0.2">
      <c r="A33" s="276"/>
      <c r="B33" s="42"/>
      <c r="C33" s="42"/>
      <c r="D33" s="42"/>
      <c r="E33" s="42"/>
      <c r="F33" s="42"/>
      <c r="G33" s="42"/>
      <c r="H33" s="42"/>
      <c r="I33" s="42"/>
      <c r="J33" s="42"/>
      <c r="K33" s="49"/>
      <c r="L33" s="32"/>
      <c r="M33" s="32"/>
      <c r="N33" s="32"/>
      <c r="O33" s="32"/>
      <c r="P33" s="32"/>
      <c r="Q33" s="32"/>
      <c r="R33" s="1120"/>
      <c r="S33" s="1120"/>
      <c r="T33" s="1119"/>
      <c r="U33" s="1119"/>
      <c r="V33" s="1112" t="s">
        <v>28</v>
      </c>
      <c r="W33" s="1112"/>
      <c r="X33" s="1113"/>
      <c r="Y33" s="886">
        <f>SUM(Y27:AA32)</f>
        <v>7260000</v>
      </c>
      <c r="Z33" s="887"/>
      <c r="AA33" s="949"/>
      <c r="AD33" s="1145">
        <f>SUM(AD27:AE32)</f>
        <v>1820000</v>
      </c>
      <c r="AE33" s="1145"/>
      <c r="AF33" s="1145">
        <f>SUM(AF27:AG32)</f>
        <v>1820000</v>
      </c>
      <c r="AG33" s="1145"/>
      <c r="AH33" s="1145">
        <f>SUM(AH27:AI32)</f>
        <v>1720000</v>
      </c>
      <c r="AI33" s="1145"/>
      <c r="AJ33" s="1145">
        <f>SUM(AJ27:AK32)</f>
        <v>1900000</v>
      </c>
      <c r="AK33" s="1145"/>
      <c r="AL33" s="1145">
        <f>SUM(AL27:AM32)</f>
        <v>7260000</v>
      </c>
      <c r="AM33" s="1146"/>
      <c r="AN33" s="800"/>
      <c r="AO33" s="800"/>
      <c r="AP33" s="48">
        <f>SUM(AP27:AP32)</f>
        <v>780000</v>
      </c>
    </row>
    <row r="34" spans="1:42" ht="15.75" customHeight="1" x14ac:dyDescent="0.2">
      <c r="A34" s="277"/>
      <c r="B34" s="16" t="s">
        <v>307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67"/>
      <c r="AD34" s="800"/>
      <c r="AE34" s="800"/>
      <c r="AF34" s="800"/>
      <c r="AG34" s="800"/>
      <c r="AH34" s="800"/>
      <c r="AI34" s="800"/>
      <c r="AJ34" s="48"/>
      <c r="AK34" s="48"/>
      <c r="AL34" s="48"/>
      <c r="AM34" s="48"/>
      <c r="AN34" s="48"/>
      <c r="AO34" s="48"/>
    </row>
    <row r="35" spans="1:42" ht="3.75" customHeight="1" x14ac:dyDescent="0.2">
      <c r="A35" s="278"/>
      <c r="B35" s="13"/>
      <c r="C35" s="13"/>
      <c r="D35" s="13"/>
      <c r="E35" s="13"/>
      <c r="F35" s="13"/>
      <c r="G35" s="13"/>
      <c r="H35" s="27"/>
      <c r="I35" s="13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13"/>
      <c r="V35" s="13"/>
      <c r="W35" s="13"/>
      <c r="X35" s="679"/>
      <c r="Y35" s="13"/>
      <c r="Z35" s="13"/>
      <c r="AA35" s="279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2" ht="16.5" customHeight="1" x14ac:dyDescent="0.2">
      <c r="A36" s="278"/>
      <c r="B36" s="13" t="s">
        <v>29</v>
      </c>
      <c r="C36" s="27"/>
      <c r="D36" s="13"/>
      <c r="E36" s="13"/>
      <c r="F36" s="40" t="s">
        <v>89</v>
      </c>
      <c r="G36" s="878">
        <f>AD33</f>
        <v>1820000</v>
      </c>
      <c r="H36" s="878"/>
      <c r="I36" s="878"/>
      <c r="J36" s="878"/>
      <c r="K36" s="13"/>
      <c r="L36" s="13"/>
      <c r="M36" s="13"/>
      <c r="N36" s="13"/>
      <c r="O36" s="28"/>
      <c r="P36" s="28"/>
      <c r="Q36" s="28"/>
      <c r="R36" s="28"/>
      <c r="S36" s="28"/>
      <c r="T36" s="28"/>
      <c r="U36" s="679" t="str">
        <f>'Perj.Din. LD'!U43</f>
        <v>CAMAT SUKOHARJO</v>
      </c>
      <c r="V36" s="13"/>
      <c r="W36" s="679"/>
      <c r="X36" s="13"/>
      <c r="Y36" s="13"/>
      <c r="Z36" s="13"/>
      <c r="AA36" s="279"/>
    </row>
    <row r="37" spans="1:42" ht="16.5" customHeight="1" x14ac:dyDescent="0.2">
      <c r="A37" s="278"/>
      <c r="B37" s="13" t="s">
        <v>30</v>
      </c>
      <c r="C37" s="27"/>
      <c r="D37" s="13"/>
      <c r="E37" s="13"/>
      <c r="F37" s="40" t="s">
        <v>89</v>
      </c>
      <c r="G37" s="878">
        <f>AF33</f>
        <v>1820000</v>
      </c>
      <c r="H37" s="878"/>
      <c r="I37" s="878"/>
      <c r="J37" s="878"/>
      <c r="K37" s="13"/>
      <c r="L37" s="13"/>
      <c r="M37" s="13"/>
      <c r="N37" s="13"/>
      <c r="O37" s="28"/>
      <c r="P37" s="28"/>
      <c r="Q37" s="28"/>
      <c r="R37" s="28"/>
      <c r="S37" s="28"/>
      <c r="T37" s="28"/>
      <c r="U37" s="679"/>
      <c r="V37" s="13"/>
      <c r="W37" s="679"/>
      <c r="X37" s="13"/>
      <c r="Y37" s="13"/>
      <c r="Z37" s="13"/>
      <c r="AA37" s="279"/>
    </row>
    <row r="38" spans="1:42" ht="15.75" customHeight="1" x14ac:dyDescent="0.2">
      <c r="A38" s="278"/>
      <c r="B38" s="13" t="s">
        <v>31</v>
      </c>
      <c r="C38" s="27"/>
      <c r="D38" s="13"/>
      <c r="E38" s="13"/>
      <c r="F38" s="40" t="s">
        <v>89</v>
      </c>
      <c r="G38" s="878">
        <f>AH33</f>
        <v>1720000</v>
      </c>
      <c r="H38" s="878"/>
      <c r="I38" s="878"/>
      <c r="J38" s="878"/>
      <c r="K38" s="13"/>
      <c r="L38" s="13"/>
      <c r="M38" s="13"/>
      <c r="N38" s="13"/>
      <c r="O38" s="28"/>
      <c r="P38" s="28"/>
      <c r="Q38" s="28"/>
      <c r="R38" s="28"/>
      <c r="S38" s="28"/>
      <c r="T38" s="28"/>
      <c r="U38" s="679"/>
      <c r="V38" s="13"/>
      <c r="W38" s="679"/>
      <c r="X38" s="13"/>
      <c r="Y38" s="13"/>
      <c r="Z38" s="13"/>
      <c r="AA38" s="279"/>
    </row>
    <row r="39" spans="1:42" ht="18.75" customHeight="1" x14ac:dyDescent="0.2">
      <c r="A39" s="278"/>
      <c r="B39" s="13" t="s">
        <v>32</v>
      </c>
      <c r="C39" s="30"/>
      <c r="D39" s="29"/>
      <c r="E39" s="13"/>
      <c r="F39" s="40" t="s">
        <v>89</v>
      </c>
      <c r="G39" s="1155">
        <f>AJ33</f>
        <v>1900000</v>
      </c>
      <c r="H39" s="878"/>
      <c r="I39" s="878"/>
      <c r="J39" s="878"/>
      <c r="K39" s="13"/>
      <c r="L39" s="13"/>
      <c r="M39" s="13"/>
      <c r="N39" s="13"/>
      <c r="O39" s="31"/>
      <c r="P39" s="31"/>
      <c r="Q39" s="31"/>
      <c r="R39" s="31"/>
      <c r="S39" s="31"/>
      <c r="T39" s="31"/>
      <c r="U39" s="679"/>
      <c r="V39" s="13"/>
      <c r="W39" s="52"/>
      <c r="X39" s="13"/>
      <c r="Y39" s="13"/>
      <c r="Z39" s="13"/>
      <c r="AA39" s="279"/>
    </row>
    <row r="40" spans="1:42" ht="15" customHeight="1" thickBot="1" x14ac:dyDescent="0.25">
      <c r="A40" s="278"/>
      <c r="B40" s="13"/>
      <c r="C40" s="13"/>
      <c r="D40" s="62" t="s">
        <v>28</v>
      </c>
      <c r="E40" s="13"/>
      <c r="F40" s="40" t="s">
        <v>89</v>
      </c>
      <c r="G40" s="877">
        <f>SUM(G36:J39)</f>
        <v>7260000</v>
      </c>
      <c r="H40" s="877"/>
      <c r="I40" s="877"/>
      <c r="J40" s="877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52" t="str">
        <f>'Perj.Din. LD'!U47</f>
        <v>DUDI WARDOYO, AP, M.M</v>
      </c>
      <c r="V40" s="13"/>
      <c r="W40" s="679"/>
      <c r="X40" s="13"/>
      <c r="Y40" s="34"/>
      <c r="Z40" s="34"/>
      <c r="AA40" s="280"/>
    </row>
    <row r="41" spans="1:42" ht="15" customHeight="1" thickTop="1" x14ac:dyDescent="0.2">
      <c r="A41" s="278"/>
      <c r="B41" s="13"/>
      <c r="C41" s="13"/>
      <c r="D41" s="62"/>
      <c r="E41" s="13"/>
      <c r="F41" s="40"/>
      <c r="G41" s="622"/>
      <c r="H41" s="622"/>
      <c r="I41" s="622"/>
      <c r="J41" s="62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79" t="str">
        <f>'Perj.Din. LD'!U48</f>
        <v>Pembina Tk. I</v>
      </c>
      <c r="V41" s="13"/>
      <c r="W41" s="679"/>
      <c r="X41" s="13"/>
      <c r="Y41" s="34"/>
      <c r="Z41" s="34"/>
      <c r="AA41" s="280"/>
    </row>
    <row r="42" spans="1:42" ht="12" customHeight="1" x14ac:dyDescent="0.2">
      <c r="A42" s="28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679" t="str">
        <f>'Perj.Din. LD'!U49</f>
        <v>NIP. 19741009 199311 1 001</v>
      </c>
      <c r="V42" s="10"/>
      <c r="W42" s="679"/>
      <c r="X42" s="10"/>
      <c r="Y42" s="10"/>
      <c r="Z42" s="10"/>
      <c r="AA42" s="282"/>
    </row>
    <row r="43" spans="1:42" s="138" customFormat="1" ht="18.75" customHeight="1" x14ac:dyDescent="0.2">
      <c r="A43" s="865" t="s">
        <v>194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519"/>
      <c r="T43" s="520"/>
      <c r="U43" s="520"/>
      <c r="V43" s="520"/>
      <c r="W43" s="520"/>
      <c r="X43" s="520"/>
      <c r="Y43" s="520"/>
      <c r="Z43" s="520"/>
      <c r="AA43" s="521"/>
      <c r="AD43" s="136"/>
      <c r="AG43" s="136"/>
      <c r="AI43" s="136"/>
      <c r="AL43" s="136"/>
    </row>
    <row r="44" spans="1:42" s="138" customFormat="1" ht="3.75" hidden="1" customHeight="1" x14ac:dyDescent="0.2">
      <c r="A44" s="382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516"/>
      <c r="T44" s="151"/>
      <c r="U44" s="151"/>
      <c r="V44" s="151"/>
      <c r="W44" s="151"/>
      <c r="X44" s="151"/>
      <c r="Y44" s="151"/>
      <c r="Z44" s="151"/>
      <c r="AA44" s="518"/>
      <c r="AD44" s="136"/>
      <c r="AG44" s="136"/>
      <c r="AI44" s="136"/>
      <c r="AL44" s="136"/>
    </row>
    <row r="45" spans="1:42" ht="14.25" customHeight="1" x14ac:dyDescent="0.2">
      <c r="A45" s="27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3"/>
      <c r="U45" s="13"/>
      <c r="V45" s="13"/>
      <c r="W45" s="679" t="str">
        <f>makan!W40</f>
        <v>Wonosobo,        Januari 2019</v>
      </c>
      <c r="X45" s="13"/>
      <c r="Y45" s="13"/>
      <c r="Z45" s="13"/>
      <c r="AA45" s="279"/>
    </row>
    <row r="46" spans="1:42" ht="4.5" customHeight="1" x14ac:dyDescent="0.2">
      <c r="A46" s="27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2"/>
      <c r="T46" s="13"/>
      <c r="U46" s="13"/>
      <c r="V46" s="13"/>
      <c r="W46" s="679"/>
      <c r="X46" s="13"/>
      <c r="Y46" s="13"/>
      <c r="Z46" s="13"/>
      <c r="AA46" s="279"/>
    </row>
    <row r="47" spans="1:42" ht="13.5" customHeight="1" x14ac:dyDescent="0.2">
      <c r="A47" s="283"/>
      <c r="B47" s="26" t="s">
        <v>34</v>
      </c>
      <c r="C47" s="13" t="str">
        <f>makan!C42</f>
        <v>RIDWAN SETIA N, S.Kom</v>
      </c>
      <c r="D47" s="13"/>
      <c r="E47" s="13"/>
      <c r="F47" s="47"/>
      <c r="G47" s="47"/>
      <c r="H47" s="13"/>
      <c r="K47" s="64" t="s">
        <v>34</v>
      </c>
      <c r="L47" s="47" t="s">
        <v>196</v>
      </c>
      <c r="M47" s="47"/>
      <c r="N47" s="47"/>
      <c r="O47" s="13"/>
      <c r="P47" s="13"/>
      <c r="Q47" s="13"/>
      <c r="R47" s="47"/>
      <c r="S47" s="522"/>
      <c r="T47" s="47"/>
      <c r="U47" s="13"/>
      <c r="V47" s="13"/>
      <c r="W47" s="679" t="s">
        <v>33</v>
      </c>
      <c r="X47" s="13"/>
      <c r="Y47" s="13"/>
      <c r="Z47" s="13"/>
      <c r="AA47" s="279"/>
    </row>
    <row r="48" spans="1:42" ht="15" customHeight="1" x14ac:dyDescent="0.2">
      <c r="A48" s="283"/>
      <c r="B48" s="26"/>
      <c r="C48" s="13"/>
      <c r="D48" s="13"/>
      <c r="E48" s="13"/>
      <c r="F48" s="13"/>
      <c r="G48" s="13"/>
      <c r="H48" s="13"/>
      <c r="K48" s="13"/>
      <c r="L48" s="13"/>
      <c r="M48" s="13"/>
      <c r="N48" s="13"/>
      <c r="O48" s="13"/>
      <c r="P48" s="13"/>
      <c r="Q48" s="13"/>
      <c r="R48" s="13"/>
      <c r="S48" s="12"/>
      <c r="T48" s="13"/>
      <c r="U48" s="13"/>
      <c r="V48" s="13"/>
      <c r="W48" s="679" t="s">
        <v>85</v>
      </c>
      <c r="X48" s="13"/>
      <c r="Y48" s="13"/>
      <c r="Z48" s="13"/>
      <c r="AA48" s="279"/>
    </row>
    <row r="49" spans="1:27" ht="18.75" customHeight="1" x14ac:dyDescent="0.2">
      <c r="A49" s="283"/>
      <c r="D49" s="13"/>
      <c r="E49" s="13"/>
      <c r="F49" s="47"/>
      <c r="G49" s="47"/>
      <c r="H49" s="13"/>
      <c r="K49" s="47"/>
      <c r="L49" s="47"/>
      <c r="O49" s="13"/>
      <c r="P49" s="13"/>
      <c r="Q49" s="13"/>
      <c r="R49" s="47"/>
      <c r="S49" s="522"/>
      <c r="T49" s="47"/>
      <c r="U49" s="13"/>
      <c r="V49" s="13"/>
      <c r="W49" s="65"/>
      <c r="X49" s="13"/>
      <c r="Y49" s="13"/>
      <c r="Z49" s="13"/>
      <c r="AA49" s="279"/>
    </row>
    <row r="50" spans="1:27" ht="16.5" customHeight="1" x14ac:dyDescent="0.2">
      <c r="A50" s="278"/>
      <c r="B50" s="26" t="s">
        <v>35</v>
      </c>
      <c r="C50" s="13" t="str">
        <f>makan!C45</f>
        <v>SABAR KHOIRI</v>
      </c>
      <c r="D50" s="44"/>
      <c r="E50" s="44"/>
      <c r="F50" s="44"/>
      <c r="G50" s="44"/>
      <c r="H50" s="13"/>
      <c r="K50" s="64" t="s">
        <v>35</v>
      </c>
      <c r="L50" s="47" t="s">
        <v>196</v>
      </c>
      <c r="M50" s="44"/>
      <c r="N50" s="44"/>
      <c r="O50" s="13"/>
      <c r="P50" s="13"/>
      <c r="Q50" s="13"/>
      <c r="R50" s="44"/>
      <c r="S50" s="46"/>
      <c r="T50" s="44"/>
      <c r="U50" s="44"/>
      <c r="V50" s="44"/>
      <c r="W50" s="679"/>
      <c r="X50" s="44"/>
      <c r="Y50" s="44"/>
      <c r="Z50" s="44"/>
      <c r="AA50" s="284"/>
    </row>
    <row r="51" spans="1:27" s="33" customFormat="1" ht="18.75" customHeight="1" x14ac:dyDescent="0.2">
      <c r="A51" s="285"/>
      <c r="B51" s="26"/>
      <c r="C51" s="13"/>
      <c r="D51" s="13"/>
      <c r="E51" s="13"/>
      <c r="F51" s="679"/>
      <c r="G51" s="679"/>
      <c r="H51" s="679"/>
      <c r="I51" s="680"/>
      <c r="J51" s="680"/>
      <c r="K51" s="64"/>
      <c r="L51" s="47"/>
      <c r="M51" s="679"/>
      <c r="N51" s="679"/>
      <c r="O51" s="679"/>
      <c r="P51" s="679"/>
      <c r="Q51" s="679"/>
      <c r="R51" s="679"/>
      <c r="S51" s="36"/>
      <c r="T51" s="679"/>
      <c r="U51" s="66"/>
      <c r="V51" s="66"/>
      <c r="W51" s="52" t="str">
        <f>makan!W46</f>
        <v>Drs. M. KRISTIJADI, M.Si</v>
      </c>
      <c r="X51" s="66"/>
      <c r="Y51" s="66"/>
      <c r="Z51" s="13"/>
      <c r="AA51" s="279"/>
    </row>
    <row r="52" spans="1:27" s="33" customFormat="1" ht="12" customHeight="1" x14ac:dyDescent="0.2">
      <c r="A52" s="285"/>
      <c r="B52" s="26"/>
      <c r="C52" s="13"/>
      <c r="D52" s="13"/>
      <c r="E52" s="13"/>
      <c r="F52" s="679"/>
      <c r="G52" s="679"/>
      <c r="H52" s="679"/>
      <c r="I52" s="64"/>
      <c r="J52" s="47"/>
      <c r="K52" s="679"/>
      <c r="L52" s="679"/>
      <c r="M52" s="679"/>
      <c r="N52" s="679"/>
      <c r="O52" s="679"/>
      <c r="P52" s="679"/>
      <c r="Q52" s="679"/>
      <c r="R52" s="679"/>
      <c r="S52" s="36"/>
      <c r="T52" s="679"/>
      <c r="U52" s="66"/>
      <c r="V52" s="66"/>
      <c r="W52" s="679" t="str">
        <f>makan!W47</f>
        <v>Pembina Utama Muda</v>
      </c>
      <c r="X52" s="66"/>
      <c r="Y52" s="66"/>
      <c r="Z52" s="13"/>
      <c r="AA52" s="279"/>
    </row>
    <row r="53" spans="1:27" s="33" customFormat="1" ht="18.75" customHeight="1" x14ac:dyDescent="0.2">
      <c r="A53" s="285"/>
      <c r="B53" s="679"/>
      <c r="C53" s="679"/>
      <c r="D53" s="679"/>
      <c r="E53" s="679"/>
      <c r="F53" s="679"/>
      <c r="G53" s="26"/>
      <c r="H53" s="13"/>
      <c r="I53" s="13"/>
      <c r="J53" s="13"/>
      <c r="K53" s="679"/>
      <c r="L53" s="679"/>
      <c r="M53" s="679"/>
      <c r="N53" s="64"/>
      <c r="O53" s="47"/>
      <c r="P53" s="679"/>
      <c r="Q53" s="679"/>
      <c r="R53" s="679"/>
      <c r="S53" s="36"/>
      <c r="T53" s="679"/>
      <c r="U53" s="66"/>
      <c r="V53" s="66"/>
      <c r="W53" s="679" t="str">
        <f>makan!W48</f>
        <v>NIP. 19681226 199403 1 005</v>
      </c>
      <c r="X53" s="66"/>
      <c r="Y53" s="66"/>
      <c r="Z53" s="13"/>
      <c r="AA53" s="279"/>
    </row>
    <row r="54" spans="1:27" ht="3.75" customHeight="1" thickBot="1" x14ac:dyDescent="0.25">
      <c r="A54" s="286"/>
      <c r="B54" s="287"/>
      <c r="C54" s="287"/>
      <c r="D54" s="287"/>
      <c r="E54" s="287"/>
      <c r="F54" s="287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524"/>
      <c r="T54" s="288"/>
      <c r="U54" s="288"/>
      <c r="V54" s="288"/>
      <c r="W54" s="289"/>
      <c r="X54" s="288"/>
      <c r="Y54" s="288"/>
      <c r="Z54" s="288"/>
      <c r="AA54" s="290"/>
    </row>
    <row r="55" spans="1:27" ht="17.25" thickTop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</sheetData>
  <mergeCells count="113">
    <mergeCell ref="T29:U29"/>
    <mergeCell ref="A21:J22"/>
    <mergeCell ref="V32:X32"/>
    <mergeCell ref="T32:U32"/>
    <mergeCell ref="AD34:AG34"/>
    <mergeCell ref="AF33:AG33"/>
    <mergeCell ref="AD31:AE31"/>
    <mergeCell ref="AF31:AG31"/>
    <mergeCell ref="AD33:AE33"/>
    <mergeCell ref="R24:S24"/>
    <mergeCell ref="Y26:AA26"/>
    <mergeCell ref="Y27:AA27"/>
    <mergeCell ref="Y28:AA28"/>
    <mergeCell ref="T33:U33"/>
    <mergeCell ref="V25:X25"/>
    <mergeCell ref="V24:X24"/>
    <mergeCell ref="R33:S33"/>
    <mergeCell ref="R29:S29"/>
    <mergeCell ref="R28:S28"/>
    <mergeCell ref="R27:S27"/>
    <mergeCell ref="Y30:AA30"/>
    <mergeCell ref="R26:S26"/>
    <mergeCell ref="R25:S25"/>
    <mergeCell ref="Y25:AA25"/>
    <mergeCell ref="Y24:AA24"/>
    <mergeCell ref="R23:S23"/>
    <mergeCell ref="T23:U23"/>
    <mergeCell ref="V23:X23"/>
    <mergeCell ref="K23:Q23"/>
    <mergeCell ref="A23:J23"/>
    <mergeCell ref="V28:X28"/>
    <mergeCell ref="T24:U24"/>
    <mergeCell ref="T26:U26"/>
    <mergeCell ref="V26:X26"/>
    <mergeCell ref="T25:U25"/>
    <mergeCell ref="T27:U27"/>
    <mergeCell ref="Y23:AA23"/>
    <mergeCell ref="A1:Q1"/>
    <mergeCell ref="A2:Q2"/>
    <mergeCell ref="A4:AA4"/>
    <mergeCell ref="A3:AA3"/>
    <mergeCell ref="Y21:AA22"/>
    <mergeCell ref="Y1:AA2"/>
    <mergeCell ref="R1:X1"/>
    <mergeCell ref="Y17:AA17"/>
    <mergeCell ref="Y16:AA16"/>
    <mergeCell ref="A20:AA20"/>
    <mergeCell ref="M5:AA5"/>
    <mergeCell ref="K21:Q22"/>
    <mergeCell ref="A12:AA12"/>
    <mergeCell ref="G13:X13"/>
    <mergeCell ref="Y14:AA14"/>
    <mergeCell ref="R22:S22"/>
    <mergeCell ref="Y15:AA15"/>
    <mergeCell ref="R21:X21"/>
    <mergeCell ref="T22:U22"/>
    <mergeCell ref="V22:X22"/>
    <mergeCell ref="Y13:AA13"/>
    <mergeCell ref="A19:AA19"/>
    <mergeCell ref="A13:F13"/>
    <mergeCell ref="AL27:AM27"/>
    <mergeCell ref="AL28:AM28"/>
    <mergeCell ref="AL29:AM29"/>
    <mergeCell ref="AL30:AM30"/>
    <mergeCell ref="AF32:AG32"/>
    <mergeCell ref="AH30:AI30"/>
    <mergeCell ref="AN27:AO27"/>
    <mergeCell ref="AH27:AI27"/>
    <mergeCell ref="AH28:AI28"/>
    <mergeCell ref="AL32:AM32"/>
    <mergeCell ref="AH29:AI29"/>
    <mergeCell ref="AN32:AO32"/>
    <mergeCell ref="AL31:AM31"/>
    <mergeCell ref="AN31:AO31"/>
    <mergeCell ref="AJ29:AK29"/>
    <mergeCell ref="AF30:AG30"/>
    <mergeCell ref="AF29:AG29"/>
    <mergeCell ref="AH34:AI34"/>
    <mergeCell ref="AD29:AE29"/>
    <mergeCell ref="AN28:AO28"/>
    <mergeCell ref="AF28:AG28"/>
    <mergeCell ref="AN29:AO29"/>
    <mergeCell ref="AN30:AO30"/>
    <mergeCell ref="AH32:AI32"/>
    <mergeCell ref="AN33:AO33"/>
    <mergeCell ref="AL33:AM33"/>
    <mergeCell ref="AH33:AI33"/>
    <mergeCell ref="AJ28:AK28"/>
    <mergeCell ref="AJ33:AK33"/>
    <mergeCell ref="A43:R43"/>
    <mergeCell ref="Y29:AA29"/>
    <mergeCell ref="V30:X30"/>
    <mergeCell ref="V29:X29"/>
    <mergeCell ref="T30:U30"/>
    <mergeCell ref="AJ27:AK27"/>
    <mergeCell ref="AD30:AE30"/>
    <mergeCell ref="AD32:AE32"/>
    <mergeCell ref="AF27:AG27"/>
    <mergeCell ref="G40:J40"/>
    <mergeCell ref="G39:J39"/>
    <mergeCell ref="G38:J38"/>
    <mergeCell ref="R32:S32"/>
    <mergeCell ref="G37:J37"/>
    <mergeCell ref="G36:J36"/>
    <mergeCell ref="Y33:AA33"/>
    <mergeCell ref="Y32:AA32"/>
    <mergeCell ref="AD27:AE27"/>
    <mergeCell ref="V33:X33"/>
    <mergeCell ref="R30:S30"/>
    <mergeCell ref="T28:U28"/>
    <mergeCell ref="V27:X27"/>
    <mergeCell ref="AD28:AE28"/>
    <mergeCell ref="AH31:AI31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0"/>
  <sheetViews>
    <sheetView showGridLines="0" view="pageBreakPreview" topLeftCell="A26" workbookViewId="0">
      <selection activeCell="N35" sqref="N35"/>
    </sheetView>
  </sheetViews>
  <sheetFormatPr defaultColWidth="4.42578125" defaultRowHeight="16.5" x14ac:dyDescent="0.2"/>
  <cols>
    <col min="1" max="8" width="3.7109375" style="15" customWidth="1"/>
    <col min="9" max="9" width="4.140625" style="15" customWidth="1"/>
    <col min="10" max="10" width="3.7109375" style="15" customWidth="1"/>
    <col min="11" max="20" width="4.42578125" style="15" customWidth="1"/>
    <col min="21" max="21" width="4" style="15" customWidth="1"/>
    <col min="22" max="22" width="4.42578125" style="15" customWidth="1"/>
    <col min="23" max="23" width="4.140625" style="15" customWidth="1"/>
    <col min="24" max="26" width="4.42578125" style="15" customWidth="1"/>
    <col min="27" max="27" width="4.28515625" style="15" customWidth="1"/>
    <col min="28" max="28" width="1.42578125" style="15" customWidth="1"/>
    <col min="29" max="29" width="2.42578125" style="15" customWidth="1"/>
    <col min="30" max="41" width="5" style="15" customWidth="1"/>
    <col min="42" max="42" width="13.7109375" style="15" customWidth="1"/>
    <col min="43" max="16384" width="4.42578125" style="15"/>
  </cols>
  <sheetData>
    <row r="1" spans="1:40" ht="20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4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24</v>
      </c>
      <c r="W2" s="56" t="s">
        <v>40</v>
      </c>
      <c r="X2" s="56" t="s">
        <v>41</v>
      </c>
      <c r="Y2" s="777"/>
      <c r="Z2" s="778"/>
      <c r="AA2" s="779"/>
    </row>
    <row r="3" spans="1:40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40" ht="15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40" ht="20.25" customHeight="1" x14ac:dyDescent="0.2">
      <c r="A5" s="266" t="s">
        <v>18</v>
      </c>
      <c r="B5" s="558"/>
      <c r="C5" s="558"/>
      <c r="D5" s="558"/>
      <c r="E5" s="558"/>
      <c r="F5" s="558"/>
      <c r="G5" s="586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40" ht="18" customHeight="1" x14ac:dyDescent="0.2">
      <c r="A6" s="266" t="s">
        <v>19</v>
      </c>
      <c r="B6" s="119"/>
      <c r="C6" s="119"/>
      <c r="D6" s="119"/>
      <c r="E6" s="119"/>
      <c r="F6" s="119"/>
      <c r="G6" s="586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40" ht="18" customHeight="1" x14ac:dyDescent="0.2">
      <c r="A7" s="266" t="s">
        <v>20</v>
      </c>
      <c r="B7" s="119"/>
      <c r="C7" s="119"/>
      <c r="D7" s="119"/>
      <c r="E7" s="119"/>
      <c r="F7" s="119"/>
      <c r="G7" s="586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40" ht="18" customHeight="1" x14ac:dyDescent="0.2">
      <c r="A8" s="268" t="s">
        <v>21</v>
      </c>
      <c r="B8" s="120"/>
      <c r="C8" s="120"/>
      <c r="D8" s="120"/>
      <c r="E8" s="120"/>
      <c r="F8" s="120"/>
      <c r="G8" s="586" t="s">
        <v>89</v>
      </c>
      <c r="H8" s="61" t="s">
        <v>328</v>
      </c>
      <c r="I8" s="61"/>
      <c r="J8" s="61"/>
      <c r="K8" s="61" t="s">
        <v>44</v>
      </c>
      <c r="L8" s="61" t="s">
        <v>99</v>
      </c>
      <c r="M8" s="16" t="s">
        <v>352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40" ht="18" customHeight="1" x14ac:dyDescent="0.2">
      <c r="A9" s="268" t="s">
        <v>22</v>
      </c>
      <c r="B9" s="120"/>
      <c r="C9" s="120"/>
      <c r="D9" s="120"/>
      <c r="E9" s="120"/>
      <c r="F9" s="120"/>
      <c r="G9" s="586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40" ht="18" customHeight="1" x14ac:dyDescent="0.2">
      <c r="A10" s="268" t="s">
        <v>23</v>
      </c>
      <c r="B10" s="120"/>
      <c r="C10" s="120"/>
      <c r="D10" s="120"/>
      <c r="E10" s="120"/>
      <c r="F10" s="120"/>
      <c r="G10" s="586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40" ht="18" customHeight="1" x14ac:dyDescent="0.2">
      <c r="A11" s="268" t="s">
        <v>24</v>
      </c>
      <c r="B11" s="120"/>
      <c r="C11" s="120"/>
      <c r="D11" s="120"/>
      <c r="E11" s="120"/>
      <c r="F11" s="120"/>
      <c r="G11" s="586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40" ht="18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F12" s="50"/>
      <c r="AH12" s="50"/>
      <c r="AL12" s="50"/>
      <c r="AN12" s="50"/>
    </row>
    <row r="13" spans="1:40" ht="18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40" ht="18" customHeight="1" x14ac:dyDescent="0.2">
      <c r="A14" s="266" t="s">
        <v>14</v>
      </c>
      <c r="B14" s="119"/>
      <c r="C14" s="119"/>
      <c r="D14" s="119"/>
      <c r="E14" s="119"/>
      <c r="F14" s="17"/>
      <c r="G14" s="614" t="s">
        <v>353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  <c r="AF14" s="50"/>
      <c r="AH14" s="50"/>
      <c r="AL14" s="50"/>
      <c r="AN14" s="50"/>
    </row>
    <row r="15" spans="1:40" ht="18" customHeight="1" x14ac:dyDescent="0.2">
      <c r="A15" s="266" t="s">
        <v>15</v>
      </c>
      <c r="B15" s="119"/>
      <c r="C15" s="119"/>
      <c r="D15" s="119"/>
      <c r="E15" s="119"/>
      <c r="F15" s="17"/>
      <c r="G15" s="614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24000000</v>
      </c>
      <c r="Z15" s="892"/>
      <c r="AA15" s="893"/>
      <c r="AD15" s="51"/>
      <c r="AF15" s="51"/>
      <c r="AH15" s="51"/>
      <c r="AL15" s="51"/>
      <c r="AN15" s="51"/>
    </row>
    <row r="16" spans="1:40" ht="18" customHeight="1" x14ac:dyDescent="0.2">
      <c r="A16" s="266" t="s">
        <v>16</v>
      </c>
      <c r="B16" s="119"/>
      <c r="C16" s="119"/>
      <c r="D16" s="119"/>
      <c r="E16" s="119"/>
      <c r="F16" s="17"/>
      <c r="G16" s="614" t="s">
        <v>354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42" ht="18" customHeight="1" x14ac:dyDescent="0.2">
      <c r="A17" s="266" t="s">
        <v>17</v>
      </c>
      <c r="B17" s="119"/>
      <c r="C17" s="119"/>
      <c r="D17" s="119"/>
      <c r="E17" s="119"/>
      <c r="F17" s="17"/>
      <c r="G17" s="614" t="s">
        <v>354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  <c r="AF17" s="51"/>
      <c r="AH17" s="51"/>
      <c r="AL17" s="51"/>
      <c r="AN17" s="51"/>
    </row>
    <row r="18" spans="1:42" ht="18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F18" s="51"/>
      <c r="AH18" s="51"/>
      <c r="AL18" s="51"/>
      <c r="AN18" s="51"/>
    </row>
    <row r="19" spans="1:42" ht="15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42" ht="1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F20" s="48"/>
      <c r="AH20" s="48"/>
      <c r="AL20" s="48"/>
      <c r="AN20" s="48"/>
    </row>
    <row r="21" spans="1:42" ht="15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42" ht="15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42" ht="16.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42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99</v>
      </c>
      <c r="F24" s="83" t="s">
        <v>40</v>
      </c>
      <c r="G24" s="83" t="s">
        <v>41</v>
      </c>
      <c r="H24" s="83" t="s">
        <v>41</v>
      </c>
      <c r="I24" s="83"/>
      <c r="J24" s="83"/>
      <c r="K24" s="84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24000000</v>
      </c>
      <c r="Z24" s="918"/>
      <c r="AA24" s="948"/>
    </row>
    <row r="25" spans="1:42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99</v>
      </c>
      <c r="F25" s="82" t="s">
        <v>40</v>
      </c>
      <c r="G25" s="82" t="s">
        <v>41</v>
      </c>
      <c r="H25" s="82" t="s">
        <v>41</v>
      </c>
      <c r="I25" s="82" t="s">
        <v>42</v>
      </c>
      <c r="J25" s="82"/>
      <c r="K25" s="79" t="s">
        <v>37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24000000</v>
      </c>
      <c r="Z25" s="918"/>
      <c r="AA25" s="948"/>
    </row>
    <row r="26" spans="1:42" ht="18.75" customHeight="1" x14ac:dyDescent="0.2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99</v>
      </c>
      <c r="F26" s="25" t="s">
        <v>40</v>
      </c>
      <c r="G26" s="25" t="s">
        <v>41</v>
      </c>
      <c r="H26" s="25" t="s">
        <v>41</v>
      </c>
      <c r="I26" s="25" t="s">
        <v>42</v>
      </c>
      <c r="J26" s="25" t="s">
        <v>277</v>
      </c>
      <c r="K26" s="24" t="s">
        <v>355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SUM(Y28:AA33)</f>
        <v>24000000</v>
      </c>
      <c r="Z26" s="871"/>
      <c r="AA26" s="930"/>
      <c r="AD26" s="48"/>
      <c r="AF26" s="48"/>
      <c r="AH26" s="48"/>
      <c r="AL26" s="48"/>
      <c r="AN26" s="48"/>
    </row>
    <row r="27" spans="1:42" ht="18.75" customHeight="1" x14ac:dyDescent="0.2">
      <c r="A27" s="271"/>
      <c r="B27" s="25"/>
      <c r="C27" s="25"/>
      <c r="D27" s="25"/>
      <c r="E27" s="25"/>
      <c r="F27" s="25"/>
      <c r="G27" s="25"/>
      <c r="H27" s="25"/>
      <c r="I27" s="25"/>
      <c r="J27" s="25"/>
      <c r="K27" s="24" t="s">
        <v>356</v>
      </c>
      <c r="L27" s="57"/>
      <c r="M27" s="57"/>
      <c r="N27" s="57"/>
      <c r="O27" s="57"/>
      <c r="P27" s="57"/>
      <c r="Q27" s="57"/>
      <c r="R27" s="589"/>
      <c r="S27" s="590"/>
      <c r="T27" s="591"/>
      <c r="U27" s="592"/>
      <c r="V27" s="591"/>
      <c r="W27" s="594"/>
      <c r="X27" s="592"/>
      <c r="Y27" s="587"/>
      <c r="Z27" s="588"/>
      <c r="AA27" s="593"/>
      <c r="AD27" s="48"/>
      <c r="AF27" s="48"/>
      <c r="AH27" s="48"/>
      <c r="AL27" s="48"/>
      <c r="AN27" s="48"/>
    </row>
    <row r="28" spans="1:42" ht="18.75" customHeight="1" x14ac:dyDescent="0.3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617" t="s">
        <v>370</v>
      </c>
      <c r="L28" s="60"/>
      <c r="M28" s="57"/>
      <c r="N28" s="60"/>
      <c r="O28" s="57"/>
      <c r="P28" s="60"/>
      <c r="Q28" s="60"/>
      <c r="R28" s="983">
        <v>12</v>
      </c>
      <c r="S28" s="984"/>
      <c r="T28" s="983" t="s">
        <v>198</v>
      </c>
      <c r="U28" s="984"/>
      <c r="V28" s="979">
        <v>1000000</v>
      </c>
      <c r="W28" s="980"/>
      <c r="X28" s="981"/>
      <c r="Y28" s="832">
        <f>V28*R28</f>
        <v>12000000</v>
      </c>
      <c r="Z28" s="833"/>
      <c r="AA28" s="966"/>
      <c r="AB28" s="138"/>
      <c r="AD28" s="1141">
        <v>600000</v>
      </c>
      <c r="AE28" s="1141"/>
      <c r="AF28" s="1141">
        <f>7*V28</f>
        <v>7000000</v>
      </c>
      <c r="AG28" s="1141"/>
      <c r="AH28" s="1141">
        <f>4*V28</f>
        <v>4000000</v>
      </c>
      <c r="AI28" s="1141"/>
      <c r="AJ28" s="1141"/>
      <c r="AK28" s="1141"/>
      <c r="AL28" s="1141">
        <f>3*100000</f>
        <v>300000</v>
      </c>
      <c r="AM28" s="1143"/>
      <c r="AN28" s="1142">
        <f>SUM(AD28:AM28)</f>
        <v>11900000</v>
      </c>
      <c r="AO28" s="1141"/>
      <c r="AP28" s="48">
        <f>3*V28</f>
        <v>3000000</v>
      </c>
    </row>
    <row r="29" spans="1:42" ht="6" customHeight="1" x14ac:dyDescent="0.3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335"/>
      <c r="L29" s="60"/>
      <c r="M29" s="57"/>
      <c r="N29" s="60"/>
      <c r="O29" s="57"/>
      <c r="P29" s="60"/>
      <c r="Q29" s="60"/>
      <c r="R29" s="983"/>
      <c r="S29" s="984"/>
      <c r="T29" s="983"/>
      <c r="U29" s="984"/>
      <c r="V29" s="979"/>
      <c r="W29" s="980"/>
      <c r="X29" s="981"/>
      <c r="Y29" s="832"/>
      <c r="Z29" s="833"/>
      <c r="AA29" s="966"/>
      <c r="AB29" s="152"/>
      <c r="AD29" s="1143"/>
      <c r="AE29" s="1144"/>
      <c r="AF29" s="1143"/>
      <c r="AG29" s="1144"/>
      <c r="AH29" s="1143"/>
      <c r="AI29" s="1144"/>
      <c r="AJ29" s="596"/>
      <c r="AK29" s="596"/>
      <c r="AL29" s="1143"/>
      <c r="AM29" s="1144"/>
      <c r="AN29" s="1142"/>
      <c r="AO29" s="1141"/>
      <c r="AP29" s="48"/>
    </row>
    <row r="30" spans="1:42" ht="18.75" customHeight="1" x14ac:dyDescent="0.3">
      <c r="A30" s="271"/>
      <c r="B30" s="25"/>
      <c r="C30" s="25"/>
      <c r="D30" s="25"/>
      <c r="E30" s="25"/>
      <c r="F30" s="25"/>
      <c r="G30" s="25"/>
      <c r="H30" s="25"/>
      <c r="I30" s="25"/>
      <c r="J30" s="25"/>
      <c r="K30" s="617" t="s">
        <v>371</v>
      </c>
      <c r="L30" s="60"/>
      <c r="M30" s="57"/>
      <c r="N30" s="60"/>
      <c r="O30" s="57"/>
      <c r="P30" s="60"/>
      <c r="Q30" s="60"/>
      <c r="R30" s="1131">
        <v>12</v>
      </c>
      <c r="S30" s="1132"/>
      <c r="T30" s="1131" t="s">
        <v>198</v>
      </c>
      <c r="U30" s="1132"/>
      <c r="V30" s="979">
        <v>1000000</v>
      </c>
      <c r="W30" s="980"/>
      <c r="X30" s="981"/>
      <c r="Y30" s="870">
        <f>V30*R30</f>
        <v>12000000</v>
      </c>
      <c r="Z30" s="871"/>
      <c r="AA30" s="930"/>
      <c r="AB30" s="152"/>
      <c r="AD30" s="1141">
        <v>360000</v>
      </c>
      <c r="AE30" s="1141"/>
      <c r="AF30" s="1141">
        <f>8*60000</f>
        <v>480000</v>
      </c>
      <c r="AG30" s="1141"/>
      <c r="AH30" s="1141">
        <f>4*60000</f>
        <v>240000</v>
      </c>
      <c r="AI30" s="1141"/>
      <c r="AJ30" s="1141"/>
      <c r="AK30" s="1141"/>
      <c r="AL30" s="1141">
        <f>2*60000</f>
        <v>120000</v>
      </c>
      <c r="AM30" s="1141"/>
      <c r="AN30" s="1142">
        <f>SUM(AD30:AM30)</f>
        <v>1200000</v>
      </c>
      <c r="AO30" s="1141"/>
      <c r="AP30" s="48">
        <f>12*40000</f>
        <v>480000</v>
      </c>
    </row>
    <row r="31" spans="1:42" ht="18.75" customHeight="1" x14ac:dyDescent="0.3">
      <c r="A31" s="271"/>
      <c r="B31" s="25"/>
      <c r="C31" s="25"/>
      <c r="D31" s="25"/>
      <c r="E31" s="25"/>
      <c r="F31" s="25"/>
      <c r="G31" s="25"/>
      <c r="H31" s="25"/>
      <c r="I31" s="25"/>
      <c r="J31" s="25"/>
      <c r="K31" s="335"/>
      <c r="L31" s="60"/>
      <c r="M31" s="57"/>
      <c r="N31" s="60"/>
      <c r="O31" s="57"/>
      <c r="P31" s="60"/>
      <c r="Q31" s="60"/>
      <c r="R31" s="1131"/>
      <c r="S31" s="1132"/>
      <c r="T31" s="1131"/>
      <c r="U31" s="1132"/>
      <c r="V31" s="1149"/>
      <c r="W31" s="1150"/>
      <c r="X31" s="1151"/>
      <c r="Y31" s="870"/>
      <c r="Z31" s="871"/>
      <c r="AA31" s="930"/>
      <c r="AB31" s="138"/>
      <c r="AD31" s="1141"/>
      <c r="AE31" s="1141"/>
      <c r="AF31" s="1141"/>
      <c r="AG31" s="1141"/>
      <c r="AH31" s="1141"/>
      <c r="AI31" s="1141"/>
      <c r="AJ31" s="596"/>
      <c r="AK31" s="596"/>
      <c r="AL31" s="1141"/>
      <c r="AM31" s="1141"/>
      <c r="AN31" s="1142"/>
      <c r="AO31" s="1141"/>
      <c r="AP31" s="48"/>
    </row>
    <row r="32" spans="1:42" ht="18.75" customHeight="1" x14ac:dyDescent="0.3">
      <c r="A32" s="274"/>
      <c r="B32" s="69"/>
      <c r="C32" s="69"/>
      <c r="D32" s="69"/>
      <c r="E32" s="69"/>
      <c r="F32" s="69"/>
      <c r="G32" s="69"/>
      <c r="H32" s="69"/>
      <c r="I32" s="69"/>
      <c r="J32" s="69"/>
      <c r="K32" s="200"/>
      <c r="L32" s="60"/>
      <c r="M32" s="57"/>
      <c r="N32" s="60"/>
      <c r="O32" s="57"/>
      <c r="P32" s="60"/>
      <c r="Q32" s="60"/>
      <c r="R32" s="598"/>
      <c r="S32" s="599"/>
      <c r="T32" s="598"/>
      <c r="U32" s="599"/>
      <c r="V32" s="115"/>
      <c r="W32" s="116"/>
      <c r="X32" s="117"/>
      <c r="Y32" s="587"/>
      <c r="Z32" s="588"/>
      <c r="AA32" s="593"/>
      <c r="AB32" s="138"/>
      <c r="AD32" s="1143"/>
      <c r="AE32" s="1144"/>
      <c r="AF32" s="1143"/>
      <c r="AG32" s="1144"/>
      <c r="AH32" s="1143"/>
      <c r="AI32" s="1144"/>
      <c r="AJ32" s="584"/>
      <c r="AK32" s="584"/>
      <c r="AL32" s="1143"/>
      <c r="AM32" s="1144"/>
      <c r="AN32" s="1143"/>
      <c r="AO32" s="1144"/>
    </row>
    <row r="33" spans="1:42" ht="18.75" customHeight="1" thickBot="1" x14ac:dyDescent="0.35">
      <c r="A33" s="275"/>
      <c r="B33" s="85"/>
      <c r="C33" s="85"/>
      <c r="D33" s="85"/>
      <c r="E33" s="85"/>
      <c r="F33" s="85"/>
      <c r="G33" s="85"/>
      <c r="H33" s="85"/>
      <c r="I33" s="85"/>
      <c r="J33" s="85"/>
      <c r="K33" s="87"/>
      <c r="L33" s="57"/>
      <c r="M33" s="57"/>
      <c r="N33" s="57"/>
      <c r="O33" s="57"/>
      <c r="P33" s="57"/>
      <c r="Q33" s="57"/>
      <c r="R33" s="1129"/>
      <c r="S33" s="1130"/>
      <c r="T33" s="1129"/>
      <c r="U33" s="1130"/>
      <c r="V33" s="1138"/>
      <c r="W33" s="1139"/>
      <c r="X33" s="1140"/>
      <c r="Y33" s="870"/>
      <c r="Z33" s="871"/>
      <c r="AA33" s="930"/>
      <c r="AB33" s="152"/>
      <c r="AC33" s="90"/>
      <c r="AD33" s="1147">
        <f>3*V33</f>
        <v>0</v>
      </c>
      <c r="AE33" s="1147"/>
      <c r="AF33" s="1147"/>
      <c r="AG33" s="1147"/>
      <c r="AH33" s="1147">
        <v>0</v>
      </c>
      <c r="AI33" s="1147"/>
      <c r="AJ33" s="597"/>
      <c r="AK33" s="597"/>
      <c r="AL33" s="1147">
        <v>0</v>
      </c>
      <c r="AM33" s="1147"/>
      <c r="AN33" s="1148">
        <f>SUM(AD33:AM33)</f>
        <v>0</v>
      </c>
      <c r="AO33" s="1147"/>
    </row>
    <row r="34" spans="1:42" ht="15.75" customHeight="1" thickTop="1" x14ac:dyDescent="0.2">
      <c r="A34" s="276"/>
      <c r="B34" s="42"/>
      <c r="C34" s="42"/>
      <c r="D34" s="42"/>
      <c r="E34" s="42"/>
      <c r="F34" s="42"/>
      <c r="G34" s="42"/>
      <c r="H34" s="42"/>
      <c r="I34" s="42"/>
      <c r="J34" s="42"/>
      <c r="K34" s="49"/>
      <c r="L34" s="32"/>
      <c r="M34" s="32"/>
      <c r="N34" s="32"/>
      <c r="O34" s="32"/>
      <c r="P34" s="32"/>
      <c r="Q34" s="32"/>
      <c r="R34" s="1120"/>
      <c r="S34" s="1120"/>
      <c r="T34" s="1119"/>
      <c r="U34" s="1119"/>
      <c r="V34" s="1112" t="s">
        <v>28</v>
      </c>
      <c r="W34" s="1112"/>
      <c r="X34" s="1113"/>
      <c r="Y34" s="886">
        <f>SUM(Y28:AA33)</f>
        <v>24000000</v>
      </c>
      <c r="Z34" s="887"/>
      <c r="AA34" s="949"/>
      <c r="AD34" s="1145">
        <f>SUM(AD28:AE33)</f>
        <v>960000</v>
      </c>
      <c r="AE34" s="1145"/>
      <c r="AF34" s="1145">
        <f>SUM(AF28:AG33)</f>
        <v>7480000</v>
      </c>
      <c r="AG34" s="1145"/>
      <c r="AH34" s="1145">
        <f>SUM(AH28:AI33)</f>
        <v>4240000</v>
      </c>
      <c r="AI34" s="1145"/>
      <c r="AJ34" s="595"/>
      <c r="AK34" s="595"/>
      <c r="AL34" s="1145">
        <f>SUM(AL28:AM33)</f>
        <v>420000</v>
      </c>
      <c r="AM34" s="1146"/>
      <c r="AN34" s="800">
        <f>SUM(AN28:AO33)</f>
        <v>13100000</v>
      </c>
      <c r="AO34" s="800"/>
      <c r="AP34" s="48">
        <f>SUM(AP28:AP33)</f>
        <v>3480000</v>
      </c>
    </row>
    <row r="35" spans="1:42" ht="15.75" customHeight="1" x14ac:dyDescent="0.2">
      <c r="A35" s="277"/>
      <c r="B35" s="16" t="s">
        <v>307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67"/>
      <c r="AD35" s="800"/>
      <c r="AE35" s="800"/>
      <c r="AF35" s="800"/>
      <c r="AG35" s="800"/>
      <c r="AH35" s="800">
        <f>AH34+AL34</f>
        <v>4660000</v>
      </c>
      <c r="AI35" s="800"/>
      <c r="AJ35" s="48"/>
      <c r="AK35" s="48"/>
      <c r="AL35" s="48"/>
      <c r="AM35" s="48"/>
      <c r="AN35" s="48"/>
      <c r="AO35" s="48"/>
    </row>
    <row r="36" spans="1:42" ht="3.75" customHeight="1" x14ac:dyDescent="0.2">
      <c r="A36" s="278"/>
      <c r="B36" s="13"/>
      <c r="C36" s="13"/>
      <c r="D36" s="13"/>
      <c r="E36" s="13"/>
      <c r="F36" s="13"/>
      <c r="G36" s="13"/>
      <c r="H36" s="27"/>
      <c r="I36" s="13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3"/>
      <c r="V36" s="13"/>
      <c r="W36" s="13"/>
      <c r="X36" s="585"/>
      <c r="Y36" s="13"/>
      <c r="Z36" s="13"/>
      <c r="AA36" s="279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2" ht="16.5" customHeight="1" x14ac:dyDescent="0.2">
      <c r="A37" s="278"/>
      <c r="B37" s="13" t="s">
        <v>29</v>
      </c>
      <c r="C37" s="27"/>
      <c r="D37" s="13"/>
      <c r="E37" s="13"/>
      <c r="F37" s="40" t="s">
        <v>89</v>
      </c>
      <c r="G37" s="878">
        <f>Y34/4</f>
        <v>6000000</v>
      </c>
      <c r="H37" s="878"/>
      <c r="I37" s="878"/>
      <c r="J37" s="878"/>
      <c r="K37" s="13"/>
      <c r="L37" s="13"/>
      <c r="M37" s="13"/>
      <c r="N37" s="13"/>
      <c r="O37" s="28"/>
      <c r="P37" s="28"/>
      <c r="Q37" s="28"/>
      <c r="R37" s="28"/>
      <c r="S37" s="28"/>
      <c r="T37" s="28"/>
      <c r="U37" s="620" t="str">
        <f>'Perj.Din. DD'!U36</f>
        <v>CAMAT SUKOHARJO</v>
      </c>
      <c r="V37" s="13"/>
      <c r="W37" s="585"/>
      <c r="X37" s="13"/>
      <c r="Y37" s="13"/>
      <c r="Z37" s="13"/>
      <c r="AA37" s="279"/>
    </row>
    <row r="38" spans="1:42" ht="16.5" customHeight="1" x14ac:dyDescent="0.2">
      <c r="A38" s="278"/>
      <c r="B38" s="13" t="s">
        <v>30</v>
      </c>
      <c r="C38" s="27"/>
      <c r="D38" s="13"/>
      <c r="E38" s="13"/>
      <c r="F38" s="40" t="s">
        <v>89</v>
      </c>
      <c r="G38" s="878">
        <f>Y34/4</f>
        <v>6000000</v>
      </c>
      <c r="H38" s="878"/>
      <c r="I38" s="878"/>
      <c r="J38" s="878"/>
      <c r="K38" s="13"/>
      <c r="L38" s="13"/>
      <c r="M38" s="13"/>
      <c r="N38" s="13"/>
      <c r="O38" s="28"/>
      <c r="P38" s="28"/>
      <c r="Q38" s="28"/>
      <c r="R38" s="28"/>
      <c r="S38" s="28"/>
      <c r="T38" s="28"/>
      <c r="U38" s="620"/>
      <c r="V38" s="13"/>
      <c r="W38" s="585"/>
      <c r="X38" s="13"/>
      <c r="Y38" s="13"/>
      <c r="Z38" s="13"/>
      <c r="AA38" s="279"/>
    </row>
    <row r="39" spans="1:42" ht="15.75" customHeight="1" x14ac:dyDescent="0.2">
      <c r="A39" s="278"/>
      <c r="B39" s="13" t="s">
        <v>31</v>
      </c>
      <c r="C39" s="27"/>
      <c r="D39" s="13"/>
      <c r="E39" s="13"/>
      <c r="F39" s="40" t="s">
        <v>89</v>
      </c>
      <c r="G39" s="878">
        <f>Y34/4</f>
        <v>6000000</v>
      </c>
      <c r="H39" s="878"/>
      <c r="I39" s="878"/>
      <c r="J39" s="878"/>
      <c r="K39" s="13"/>
      <c r="L39" s="13"/>
      <c r="M39" s="13"/>
      <c r="N39" s="13"/>
      <c r="O39" s="28"/>
      <c r="P39" s="28"/>
      <c r="Q39" s="28"/>
      <c r="R39" s="28"/>
      <c r="S39" s="28"/>
      <c r="T39" s="28"/>
      <c r="U39" s="620"/>
      <c r="V39" s="13"/>
      <c r="W39" s="585"/>
      <c r="X39" s="13"/>
      <c r="Y39" s="13"/>
      <c r="Z39" s="13"/>
      <c r="AA39" s="279"/>
    </row>
    <row r="40" spans="1:42" ht="18.75" customHeight="1" x14ac:dyDescent="0.2">
      <c r="A40" s="278"/>
      <c r="B40" s="13" t="s">
        <v>32</v>
      </c>
      <c r="C40" s="30"/>
      <c r="D40" s="29"/>
      <c r="E40" s="13"/>
      <c r="F40" s="40" t="s">
        <v>89</v>
      </c>
      <c r="G40" s="878">
        <f>Y34/4</f>
        <v>6000000</v>
      </c>
      <c r="H40" s="878"/>
      <c r="I40" s="878"/>
      <c r="J40" s="878"/>
      <c r="K40" s="13"/>
      <c r="L40" s="13"/>
      <c r="M40" s="13"/>
      <c r="N40" s="13"/>
      <c r="O40" s="31"/>
      <c r="P40" s="31"/>
      <c r="Q40" s="31"/>
      <c r="R40" s="31"/>
      <c r="S40" s="31"/>
      <c r="T40" s="31"/>
      <c r="U40" s="620"/>
      <c r="V40" s="13"/>
      <c r="W40" s="52"/>
      <c r="X40" s="13"/>
      <c r="Y40" s="13"/>
      <c r="Z40" s="13"/>
      <c r="AA40" s="279"/>
    </row>
    <row r="41" spans="1:42" ht="15" customHeight="1" thickBot="1" x14ac:dyDescent="0.25">
      <c r="A41" s="278"/>
      <c r="B41" s="13"/>
      <c r="C41" s="13"/>
      <c r="D41" s="62" t="s">
        <v>28</v>
      </c>
      <c r="E41" s="13"/>
      <c r="F41" s="40" t="s">
        <v>89</v>
      </c>
      <c r="G41" s="877">
        <f>SUM(G37:J40)</f>
        <v>24000000</v>
      </c>
      <c r="H41" s="877"/>
      <c r="I41" s="877"/>
      <c r="J41" s="87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2" t="str">
        <f>'Perj.Din. DD'!U40</f>
        <v>DUDI WARDOYO, AP, M.M</v>
      </c>
      <c r="V41" s="13"/>
      <c r="W41" s="585"/>
      <c r="X41" s="13"/>
      <c r="Y41" s="34"/>
      <c r="Z41" s="34"/>
      <c r="AA41" s="280"/>
    </row>
    <row r="42" spans="1:42" ht="15" customHeight="1" thickTop="1" x14ac:dyDescent="0.2">
      <c r="A42" s="278"/>
      <c r="B42" s="13"/>
      <c r="C42" s="13"/>
      <c r="D42" s="62"/>
      <c r="E42" s="13"/>
      <c r="F42" s="40"/>
      <c r="G42" s="622"/>
      <c r="H42" s="622"/>
      <c r="I42" s="622"/>
      <c r="J42" s="6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20" t="str">
        <f>'Perj.Din. DD'!U41</f>
        <v>Pembina Tk. I</v>
      </c>
      <c r="V42" s="13"/>
      <c r="W42" s="620"/>
      <c r="X42" s="13"/>
      <c r="Y42" s="34"/>
      <c r="Z42" s="34"/>
      <c r="AA42" s="280"/>
    </row>
    <row r="43" spans="1:42" ht="12" customHeight="1" x14ac:dyDescent="0.2">
      <c r="A43" s="28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620" t="str">
        <f>'Perj.Din. DD'!U42</f>
        <v>NIP. 19741009 199311 1 001</v>
      </c>
      <c r="V43" s="10"/>
      <c r="W43" s="585"/>
      <c r="X43" s="10"/>
      <c r="Y43" s="10"/>
      <c r="Z43" s="10"/>
      <c r="AA43" s="282"/>
    </row>
    <row r="44" spans="1:42" s="138" customFormat="1" ht="18.75" customHeight="1" x14ac:dyDescent="0.2">
      <c r="A44" s="865" t="s">
        <v>194</v>
      </c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519"/>
      <c r="T44" s="520"/>
      <c r="U44" s="520"/>
      <c r="V44" s="520"/>
      <c r="W44" s="520"/>
      <c r="X44" s="520"/>
      <c r="Y44" s="520"/>
      <c r="Z44" s="520"/>
      <c r="AA44" s="521"/>
      <c r="AD44" s="136"/>
      <c r="AG44" s="136"/>
      <c r="AI44" s="136"/>
      <c r="AL44" s="136"/>
    </row>
    <row r="45" spans="1:42" s="138" customFormat="1" ht="3.75" hidden="1" customHeight="1" x14ac:dyDescent="0.2">
      <c r="A45" s="382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516"/>
      <c r="T45" s="151"/>
      <c r="U45" s="151"/>
      <c r="V45" s="151"/>
      <c r="W45" s="151"/>
      <c r="X45" s="151"/>
      <c r="Y45" s="151"/>
      <c r="Z45" s="151"/>
      <c r="AA45" s="518"/>
      <c r="AD45" s="136"/>
      <c r="AG45" s="136"/>
      <c r="AI45" s="136"/>
      <c r="AL45" s="136"/>
    </row>
    <row r="46" spans="1:42" ht="14.25" customHeight="1" x14ac:dyDescent="0.2">
      <c r="A46" s="27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2"/>
      <c r="T46" s="13"/>
      <c r="U46" s="13"/>
      <c r="V46" s="13"/>
      <c r="W46" s="585" t="str">
        <f>makan!W40</f>
        <v>Wonosobo,        Januari 2019</v>
      </c>
      <c r="X46" s="13"/>
      <c r="Y46" s="13"/>
      <c r="Z46" s="13"/>
      <c r="AA46" s="279"/>
    </row>
    <row r="47" spans="1:42" ht="4.5" customHeight="1" x14ac:dyDescent="0.2">
      <c r="A47" s="27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2"/>
      <c r="T47" s="13"/>
      <c r="U47" s="13"/>
      <c r="V47" s="13"/>
      <c r="W47" s="585"/>
      <c r="X47" s="13"/>
      <c r="Y47" s="13"/>
      <c r="Z47" s="13"/>
      <c r="AA47" s="279"/>
    </row>
    <row r="48" spans="1:42" ht="13.5" customHeight="1" x14ac:dyDescent="0.2">
      <c r="A48" s="283"/>
      <c r="B48" s="26" t="s">
        <v>34</v>
      </c>
      <c r="C48" s="13" t="str">
        <f>makan!C42</f>
        <v>RIDWAN SETIA N, S.Kom</v>
      </c>
      <c r="D48" s="13"/>
      <c r="E48" s="13"/>
      <c r="F48" s="47"/>
      <c r="G48" s="47"/>
      <c r="H48" s="13"/>
      <c r="K48" s="64" t="s">
        <v>34</v>
      </c>
      <c r="L48" s="47" t="s">
        <v>196</v>
      </c>
      <c r="M48" s="47"/>
      <c r="N48" s="47"/>
      <c r="O48" s="13"/>
      <c r="P48" s="13"/>
      <c r="Q48" s="13"/>
      <c r="R48" s="47"/>
      <c r="S48" s="522"/>
      <c r="T48" s="47"/>
      <c r="U48" s="13"/>
      <c r="V48" s="13"/>
      <c r="W48" s="585" t="s">
        <v>33</v>
      </c>
      <c r="X48" s="13"/>
      <c r="Y48" s="13"/>
      <c r="Z48" s="13"/>
      <c r="AA48" s="279"/>
    </row>
    <row r="49" spans="1:27" ht="15" customHeight="1" x14ac:dyDescent="0.2">
      <c r="A49" s="283"/>
      <c r="B49" s="26"/>
      <c r="C49" s="13"/>
      <c r="D49" s="13"/>
      <c r="E49" s="13"/>
      <c r="F49" s="13"/>
      <c r="G49" s="13"/>
      <c r="H49" s="13"/>
      <c r="K49" s="13"/>
      <c r="L49" s="13"/>
      <c r="M49" s="13"/>
      <c r="N49" s="13"/>
      <c r="O49" s="13"/>
      <c r="P49" s="13"/>
      <c r="Q49" s="13"/>
      <c r="R49" s="13"/>
      <c r="S49" s="12"/>
      <c r="T49" s="13"/>
      <c r="U49" s="13"/>
      <c r="V49" s="13"/>
      <c r="W49" s="585" t="s">
        <v>85</v>
      </c>
      <c r="X49" s="13"/>
      <c r="Y49" s="13"/>
      <c r="Z49" s="13"/>
      <c r="AA49" s="279"/>
    </row>
    <row r="50" spans="1:27" ht="18.75" customHeight="1" x14ac:dyDescent="0.2">
      <c r="A50" s="283"/>
      <c r="D50" s="13"/>
      <c r="E50" s="13"/>
      <c r="F50" s="47"/>
      <c r="G50" s="47"/>
      <c r="H50" s="13"/>
      <c r="K50" s="47"/>
      <c r="L50" s="47"/>
      <c r="O50" s="13"/>
      <c r="P50" s="13"/>
      <c r="Q50" s="13"/>
      <c r="R50" s="47"/>
      <c r="S50" s="522"/>
      <c r="T50" s="47"/>
      <c r="U50" s="13"/>
      <c r="V50" s="13"/>
      <c r="W50" s="65"/>
      <c r="X50" s="13"/>
      <c r="Y50" s="13"/>
      <c r="Z50" s="13"/>
      <c r="AA50" s="279"/>
    </row>
    <row r="51" spans="1:27" ht="16.5" customHeight="1" x14ac:dyDescent="0.2">
      <c r="A51" s="278"/>
      <c r="B51" s="26" t="s">
        <v>35</v>
      </c>
      <c r="C51" s="13" t="str">
        <f>makan!C45</f>
        <v>SABAR KHOIRI</v>
      </c>
      <c r="D51" s="44"/>
      <c r="E51" s="44"/>
      <c r="F51" s="44"/>
      <c r="G51" s="44"/>
      <c r="H51" s="13"/>
      <c r="K51" s="64" t="s">
        <v>35</v>
      </c>
      <c r="L51" s="47" t="s">
        <v>196</v>
      </c>
      <c r="M51" s="44"/>
      <c r="N51" s="44"/>
      <c r="O51" s="13"/>
      <c r="P51" s="13"/>
      <c r="Q51" s="13"/>
      <c r="R51" s="44"/>
      <c r="S51" s="46"/>
      <c r="T51" s="44"/>
      <c r="U51" s="44"/>
      <c r="V51" s="44"/>
      <c r="W51" s="585"/>
      <c r="X51" s="44"/>
      <c r="Y51" s="44"/>
      <c r="Z51" s="44"/>
      <c r="AA51" s="284"/>
    </row>
    <row r="52" spans="1:27" s="583" customFormat="1" ht="18.75" customHeight="1" x14ac:dyDescent="0.2">
      <c r="A52" s="285"/>
      <c r="B52" s="26"/>
      <c r="C52" s="13"/>
      <c r="D52" s="13"/>
      <c r="E52" s="13"/>
      <c r="F52" s="585"/>
      <c r="G52" s="585"/>
      <c r="H52" s="585"/>
      <c r="K52" s="64"/>
      <c r="L52" s="47"/>
      <c r="M52" s="585"/>
      <c r="N52" s="585"/>
      <c r="O52" s="585"/>
      <c r="P52" s="585"/>
      <c r="Q52" s="585"/>
      <c r="R52" s="585"/>
      <c r="S52" s="36"/>
      <c r="T52" s="585"/>
      <c r="U52" s="66"/>
      <c r="V52" s="66"/>
      <c r="W52" s="52" t="str">
        <f>makan!W46</f>
        <v>Drs. M. KRISTIJADI, M.Si</v>
      </c>
      <c r="X52" s="66"/>
      <c r="Y52" s="66"/>
      <c r="Z52" s="13"/>
      <c r="AA52" s="279"/>
    </row>
    <row r="53" spans="1:27" s="583" customFormat="1" ht="12" customHeight="1" x14ac:dyDescent="0.2">
      <c r="A53" s="285"/>
      <c r="B53" s="26"/>
      <c r="C53" s="13"/>
      <c r="D53" s="13"/>
      <c r="E53" s="13"/>
      <c r="F53" s="585"/>
      <c r="G53" s="585"/>
      <c r="H53" s="585"/>
      <c r="I53" s="64"/>
      <c r="J53" s="47"/>
      <c r="K53" s="585"/>
      <c r="L53" s="585"/>
      <c r="M53" s="585"/>
      <c r="N53" s="585"/>
      <c r="O53" s="585"/>
      <c r="P53" s="585"/>
      <c r="Q53" s="585"/>
      <c r="R53" s="585"/>
      <c r="S53" s="36"/>
      <c r="T53" s="585"/>
      <c r="U53" s="66"/>
      <c r="V53" s="66"/>
      <c r="W53" s="585" t="str">
        <f>makan!W47</f>
        <v>Pembina Utama Muda</v>
      </c>
      <c r="X53" s="66"/>
      <c r="Y53" s="66"/>
      <c r="Z53" s="13"/>
      <c r="AA53" s="279"/>
    </row>
    <row r="54" spans="1:27" s="583" customFormat="1" ht="18.75" customHeight="1" x14ac:dyDescent="0.2">
      <c r="A54" s="285"/>
      <c r="B54" s="585"/>
      <c r="C54" s="585"/>
      <c r="D54" s="585"/>
      <c r="E54" s="585"/>
      <c r="F54" s="585"/>
      <c r="G54" s="26"/>
      <c r="H54" s="13"/>
      <c r="I54" s="13"/>
      <c r="J54" s="13"/>
      <c r="K54" s="585"/>
      <c r="L54" s="585"/>
      <c r="M54" s="585"/>
      <c r="N54" s="64"/>
      <c r="O54" s="47"/>
      <c r="P54" s="585"/>
      <c r="Q54" s="585"/>
      <c r="R54" s="585"/>
      <c r="S54" s="36"/>
      <c r="T54" s="585"/>
      <c r="U54" s="66"/>
      <c r="V54" s="66"/>
      <c r="W54" s="585" t="str">
        <f>makan!W48</f>
        <v>NIP. 19681226 199403 1 005</v>
      </c>
      <c r="X54" s="66"/>
      <c r="Y54" s="66"/>
      <c r="Z54" s="13"/>
      <c r="AA54" s="279"/>
    </row>
    <row r="55" spans="1:27" ht="3.75" customHeight="1" thickBot="1" x14ac:dyDescent="0.25">
      <c r="A55" s="286"/>
      <c r="B55" s="287"/>
      <c r="C55" s="287"/>
      <c r="D55" s="287"/>
      <c r="E55" s="287"/>
      <c r="F55" s="287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524"/>
      <c r="T55" s="288"/>
      <c r="U55" s="288"/>
      <c r="V55" s="288"/>
      <c r="W55" s="289"/>
      <c r="X55" s="288"/>
      <c r="Y55" s="288"/>
      <c r="Z55" s="288"/>
      <c r="AA55" s="290"/>
    </row>
    <row r="56" spans="1:27" ht="17.25" thickTop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</sheetData>
  <mergeCells count="111">
    <mergeCell ref="M5:AA5"/>
    <mergeCell ref="A12:AA12"/>
    <mergeCell ref="A13:F13"/>
    <mergeCell ref="G13:X13"/>
    <mergeCell ref="Y13:AA13"/>
    <mergeCell ref="Y14:AA14"/>
    <mergeCell ref="A1:Q1"/>
    <mergeCell ref="R1:X1"/>
    <mergeCell ref="Y1:AA2"/>
    <mergeCell ref="A2:Q2"/>
    <mergeCell ref="A3:AA3"/>
    <mergeCell ref="A4:AA4"/>
    <mergeCell ref="T22:U22"/>
    <mergeCell ref="V22:X22"/>
    <mergeCell ref="A23:J23"/>
    <mergeCell ref="K23:Q23"/>
    <mergeCell ref="R23:S23"/>
    <mergeCell ref="T23:U23"/>
    <mergeCell ref="V23:X23"/>
    <mergeCell ref="Y15:AA15"/>
    <mergeCell ref="Y16:AA16"/>
    <mergeCell ref="Y17:AA17"/>
    <mergeCell ref="A19:AA19"/>
    <mergeCell ref="A20:AA20"/>
    <mergeCell ref="A21:J22"/>
    <mergeCell ref="K21:Q22"/>
    <mergeCell ref="R21:X21"/>
    <mergeCell ref="Y21:AA22"/>
    <mergeCell ref="R22:S22"/>
    <mergeCell ref="Y23:AA23"/>
    <mergeCell ref="R24:S24"/>
    <mergeCell ref="T24:U24"/>
    <mergeCell ref="V24:X24"/>
    <mergeCell ref="Y24:AA24"/>
    <mergeCell ref="R25:S25"/>
    <mergeCell ref="T25:U25"/>
    <mergeCell ref="V25:X25"/>
    <mergeCell ref="Y25:AA25"/>
    <mergeCell ref="AD28:AE28"/>
    <mergeCell ref="AF28:AG28"/>
    <mergeCell ref="AH28:AI28"/>
    <mergeCell ref="AJ28:AK28"/>
    <mergeCell ref="AL28:AM28"/>
    <mergeCell ref="AN28:AO28"/>
    <mergeCell ref="R26:S26"/>
    <mergeCell ref="T26:U26"/>
    <mergeCell ref="V26:X26"/>
    <mergeCell ref="Y26:AA26"/>
    <mergeCell ref="R28:S28"/>
    <mergeCell ref="T28:U28"/>
    <mergeCell ref="V28:X28"/>
    <mergeCell ref="Y28:AA28"/>
    <mergeCell ref="AN29:AO29"/>
    <mergeCell ref="R30:S30"/>
    <mergeCell ref="T30:U30"/>
    <mergeCell ref="V30:X30"/>
    <mergeCell ref="Y30:AA30"/>
    <mergeCell ref="AD30:AE30"/>
    <mergeCell ref="AF30:AG30"/>
    <mergeCell ref="AH30:AI30"/>
    <mergeCell ref="R29:S29"/>
    <mergeCell ref="T29:U29"/>
    <mergeCell ref="V29:X29"/>
    <mergeCell ref="Y29:AA29"/>
    <mergeCell ref="AD29:AE29"/>
    <mergeCell ref="AF29:AG29"/>
    <mergeCell ref="R31:S31"/>
    <mergeCell ref="T31:U31"/>
    <mergeCell ref="V31:X31"/>
    <mergeCell ref="Y31:AA31"/>
    <mergeCell ref="AD31:AE31"/>
    <mergeCell ref="AF31:AG31"/>
    <mergeCell ref="AH31:AI31"/>
    <mergeCell ref="AH29:AI29"/>
    <mergeCell ref="AL29:AM29"/>
    <mergeCell ref="AL31:AM31"/>
    <mergeCell ref="AN31:AO31"/>
    <mergeCell ref="AD32:AE32"/>
    <mergeCell ref="AF32:AG32"/>
    <mergeCell ref="AH32:AI32"/>
    <mergeCell ref="AL32:AM32"/>
    <mergeCell ref="AN32:AO32"/>
    <mergeCell ref="AJ30:AK30"/>
    <mergeCell ref="AL30:AM30"/>
    <mergeCell ref="AN30:AO30"/>
    <mergeCell ref="AH33:AI33"/>
    <mergeCell ref="AL33:AM33"/>
    <mergeCell ref="AN33:AO33"/>
    <mergeCell ref="R34:S34"/>
    <mergeCell ref="T34:U34"/>
    <mergeCell ref="V34:X34"/>
    <mergeCell ref="Y34:AA34"/>
    <mergeCell ref="AD34:AE34"/>
    <mergeCell ref="AF34:AG34"/>
    <mergeCell ref="AH34:AI34"/>
    <mergeCell ref="R33:S33"/>
    <mergeCell ref="T33:U33"/>
    <mergeCell ref="V33:X33"/>
    <mergeCell ref="Y33:AA33"/>
    <mergeCell ref="AD33:AE33"/>
    <mergeCell ref="AF33:AG33"/>
    <mergeCell ref="G39:J39"/>
    <mergeCell ref="G40:J40"/>
    <mergeCell ref="G41:J41"/>
    <mergeCell ref="A44:R44"/>
    <mergeCell ref="AL34:AM34"/>
    <mergeCell ref="AN34:AO34"/>
    <mergeCell ref="AD35:AG35"/>
    <mergeCell ref="AH35:AI35"/>
    <mergeCell ref="G37:J37"/>
    <mergeCell ref="G38:J38"/>
  </mergeCells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63"/>
  <sheetViews>
    <sheetView showGridLines="0" view="pageBreakPreview" topLeftCell="A18" workbookViewId="0">
      <selection activeCell="AC28" sqref="AC28"/>
    </sheetView>
  </sheetViews>
  <sheetFormatPr defaultColWidth="4.42578125" defaultRowHeight="16.5" x14ac:dyDescent="0.2"/>
  <cols>
    <col min="1" max="10" width="3.7109375" style="15" customWidth="1"/>
    <col min="11" max="27" width="4.42578125" style="15" customWidth="1"/>
    <col min="28" max="28" width="4.42578125" style="15"/>
    <col min="29" max="29" width="11.85546875" style="15" customWidth="1"/>
    <col min="30" max="30" width="9.85546875" style="15" customWidth="1"/>
    <col min="31" max="31" width="10" style="15" customWidth="1"/>
    <col min="32" max="32" width="13.28515625" style="15" customWidth="1"/>
    <col min="33" max="33" width="10.28515625" style="15" customWidth="1"/>
    <col min="34" max="36" width="5" style="138" customWidth="1"/>
    <col min="37" max="39" width="5" style="15" customWidth="1"/>
    <col min="40" max="16384" width="4.42578125" style="15"/>
  </cols>
  <sheetData>
    <row r="1" spans="1:38" ht="20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8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02</v>
      </c>
      <c r="V2" s="56" t="str">
        <f>L8</f>
        <v>21</v>
      </c>
      <c r="W2" s="56" t="s">
        <v>40</v>
      </c>
      <c r="X2" s="56" t="s">
        <v>41</v>
      </c>
      <c r="Y2" s="777"/>
      <c r="Z2" s="778"/>
      <c r="AA2" s="779"/>
    </row>
    <row r="3" spans="1:38" ht="1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8" ht="19.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8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  <c r="AH5" s="15"/>
      <c r="AI5" s="15"/>
      <c r="AJ5" s="15"/>
    </row>
    <row r="6" spans="1:38" ht="17.100000000000001" customHeight="1" x14ac:dyDescent="0.2">
      <c r="A6" s="266" t="s">
        <v>19</v>
      </c>
      <c r="B6" s="119"/>
      <c r="C6" s="119"/>
      <c r="D6" s="119"/>
      <c r="E6" s="119"/>
      <c r="F6" s="119"/>
      <c r="G6" s="683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8" ht="17.100000000000001" customHeight="1" x14ac:dyDescent="0.2">
      <c r="A7" s="266" t="s">
        <v>20</v>
      </c>
      <c r="B7" s="119"/>
      <c r="C7" s="119"/>
      <c r="D7" s="119"/>
      <c r="E7" s="119"/>
      <c r="F7" s="119"/>
      <c r="G7" s="683" t="s">
        <v>89</v>
      </c>
      <c r="H7" s="61" t="s">
        <v>328</v>
      </c>
      <c r="I7" s="61"/>
      <c r="J7" s="61"/>
      <c r="K7" s="61" t="s">
        <v>50</v>
      </c>
      <c r="L7" s="61"/>
      <c r="M7" s="16" t="s">
        <v>181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8" ht="17.100000000000001" customHeight="1" x14ac:dyDescent="0.2">
      <c r="A8" s="268" t="s">
        <v>21</v>
      </c>
      <c r="B8" s="120"/>
      <c r="C8" s="120"/>
      <c r="D8" s="120"/>
      <c r="E8" s="120"/>
      <c r="F8" s="120"/>
      <c r="G8" s="683" t="s">
        <v>89</v>
      </c>
      <c r="H8" s="61" t="s">
        <v>328</v>
      </c>
      <c r="I8" s="61"/>
      <c r="J8" s="61"/>
      <c r="K8" s="61" t="s">
        <v>50</v>
      </c>
      <c r="L8" s="61" t="s">
        <v>78</v>
      </c>
      <c r="M8" s="16" t="s">
        <v>146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8" ht="17.100000000000001" customHeight="1" x14ac:dyDescent="0.2">
      <c r="A9" s="268" t="s">
        <v>22</v>
      </c>
      <c r="B9" s="120"/>
      <c r="C9" s="120"/>
      <c r="D9" s="120"/>
      <c r="E9" s="120"/>
      <c r="F9" s="120"/>
      <c r="G9" s="683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8" ht="17.100000000000001" customHeight="1" x14ac:dyDescent="0.2">
      <c r="A10" s="268" t="s">
        <v>23</v>
      </c>
      <c r="B10" s="120"/>
      <c r="C10" s="120"/>
      <c r="D10" s="120"/>
      <c r="E10" s="120"/>
      <c r="F10" s="120"/>
      <c r="G10" s="683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8" ht="17.100000000000001" customHeight="1" x14ac:dyDescent="0.2">
      <c r="A11" s="268" t="s">
        <v>24</v>
      </c>
      <c r="B11" s="120"/>
      <c r="C11" s="120"/>
      <c r="D11" s="120"/>
      <c r="E11" s="120"/>
      <c r="F11" s="120"/>
      <c r="G11" s="683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8" ht="18.399999999999999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I12" s="162"/>
      <c r="AL12" s="50"/>
    </row>
    <row r="13" spans="1:38" ht="18.399999999999999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8" ht="17.100000000000001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146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  <c r="AI14" s="162"/>
      <c r="AL14" s="50"/>
    </row>
    <row r="15" spans="1:38" ht="17.100000000000001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1521000</v>
      </c>
      <c r="Z15" s="892"/>
      <c r="AA15" s="893"/>
      <c r="AD15" s="51"/>
      <c r="AI15" s="163"/>
      <c r="AL15" s="51"/>
    </row>
    <row r="16" spans="1:38" ht="17.100000000000001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147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9" ht="17.100000000000001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147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  <c r="AI17" s="163"/>
      <c r="AL17" s="51"/>
    </row>
    <row r="18" spans="1:39" ht="17.100000000000001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I18" s="163"/>
      <c r="AL18" s="51"/>
    </row>
    <row r="19" spans="1:39" ht="15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9" ht="1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I20" s="164"/>
      <c r="AL20" s="48"/>
    </row>
    <row r="21" spans="1:39" ht="1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9" ht="14.2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9" ht="14.2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9" ht="17.100000000000001" customHeight="1" x14ac:dyDescent="0.2">
      <c r="A24" s="556" t="s">
        <v>323</v>
      </c>
      <c r="B24" s="557" t="s">
        <v>323</v>
      </c>
      <c r="C24" s="557" t="s">
        <v>277</v>
      </c>
      <c r="D24" s="83" t="s">
        <v>50</v>
      </c>
      <c r="E24" s="83" t="s">
        <v>78</v>
      </c>
      <c r="F24" s="23" t="s">
        <v>40</v>
      </c>
      <c r="G24" s="23" t="s">
        <v>41</v>
      </c>
      <c r="H24" s="23" t="s">
        <v>41</v>
      </c>
      <c r="I24" s="23"/>
      <c r="J24" s="23"/>
      <c r="K24" s="91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Y25+Y34</f>
        <v>1521000</v>
      </c>
      <c r="Z24" s="918"/>
      <c r="AA24" s="948"/>
      <c r="AC24" s="48">
        <f>Y24-995000</f>
        <v>526000</v>
      </c>
    </row>
    <row r="25" spans="1:39" ht="17.100000000000001" customHeight="1" x14ac:dyDescent="0.3">
      <c r="A25" s="270" t="s">
        <v>323</v>
      </c>
      <c r="B25" s="23" t="s">
        <v>323</v>
      </c>
      <c r="C25" s="23" t="s">
        <v>277</v>
      </c>
      <c r="D25" s="23" t="s">
        <v>50</v>
      </c>
      <c r="E25" s="23" t="s">
        <v>78</v>
      </c>
      <c r="F25" s="23" t="s">
        <v>40</v>
      </c>
      <c r="G25" s="23" t="s">
        <v>41</v>
      </c>
      <c r="H25" s="23" t="s">
        <v>41</v>
      </c>
      <c r="I25" s="23" t="s">
        <v>50</v>
      </c>
      <c r="J25" s="23"/>
      <c r="K25" s="95" t="s">
        <v>72</v>
      </c>
      <c r="L25" s="59"/>
      <c r="M25" s="59"/>
      <c r="N25" s="59"/>
      <c r="O25" s="59"/>
      <c r="P25" s="59"/>
      <c r="Q25" s="59"/>
      <c r="R25" s="1042"/>
      <c r="S25" s="1043"/>
      <c r="T25" s="1042"/>
      <c r="U25" s="1043"/>
      <c r="V25" s="1042"/>
      <c r="W25" s="1044"/>
      <c r="X25" s="1043"/>
      <c r="Y25" s="1023">
        <f>Y26</f>
        <v>1071000</v>
      </c>
      <c r="Z25" s="1024"/>
      <c r="AA25" s="1025"/>
      <c r="AE25" s="48"/>
      <c r="AH25" s="1074"/>
      <c r="AI25" s="1074"/>
      <c r="AJ25" s="1074"/>
    </row>
    <row r="26" spans="1:39" ht="17.100000000000001" customHeight="1" x14ac:dyDescent="0.3">
      <c r="A26" s="271" t="s">
        <v>323</v>
      </c>
      <c r="B26" s="25" t="s">
        <v>323</v>
      </c>
      <c r="C26" s="25" t="s">
        <v>277</v>
      </c>
      <c r="D26" s="25" t="s">
        <v>50</v>
      </c>
      <c r="E26" s="25" t="s">
        <v>78</v>
      </c>
      <c r="F26" s="25" t="s">
        <v>40</v>
      </c>
      <c r="G26" s="25" t="s">
        <v>41</v>
      </c>
      <c r="H26" s="25" t="s">
        <v>41</v>
      </c>
      <c r="I26" s="25" t="s">
        <v>50</v>
      </c>
      <c r="J26" s="25" t="s">
        <v>44</v>
      </c>
      <c r="K26" s="80" t="s">
        <v>73</v>
      </c>
      <c r="L26" s="57"/>
      <c r="M26" s="57"/>
      <c r="N26" s="57"/>
      <c r="O26" s="57"/>
      <c r="P26" s="57"/>
      <c r="Q26" s="57"/>
      <c r="R26" s="1060"/>
      <c r="S26" s="1152"/>
      <c r="T26" s="1059"/>
      <c r="U26" s="1153"/>
      <c r="V26" s="1059"/>
      <c r="W26" s="1154"/>
      <c r="X26" s="1153"/>
      <c r="Y26" s="832">
        <f>SUM(Y27:AA33)</f>
        <v>1071000</v>
      </c>
      <c r="Z26" s="833"/>
      <c r="AA26" s="966"/>
      <c r="AB26" s="138"/>
      <c r="AC26" s="164">
        <f>SUM(AC27:AC33)</f>
        <v>293000</v>
      </c>
      <c r="AD26" s="48"/>
      <c r="AE26" s="48">
        <f>SUM(AE27:AE33)</f>
        <v>778000</v>
      </c>
      <c r="AG26" s="48">
        <f>SUM(AG27:AG33)</f>
        <v>826000</v>
      </c>
      <c r="AH26" s="1074"/>
      <c r="AI26" s="1074"/>
      <c r="AJ26" s="1074"/>
      <c r="AL26" s="48"/>
    </row>
    <row r="27" spans="1:39" ht="17.100000000000001" customHeight="1" x14ac:dyDescent="0.3">
      <c r="A27" s="298"/>
      <c r="B27" s="7"/>
      <c r="C27" s="7"/>
      <c r="D27" s="7"/>
      <c r="E27" s="7"/>
      <c r="F27" s="7"/>
      <c r="G27" s="7"/>
      <c r="H27" s="7"/>
      <c r="I27" s="7"/>
      <c r="J27" s="7"/>
      <c r="K27" s="73" t="s">
        <v>359</v>
      </c>
      <c r="L27" s="60"/>
      <c r="M27" s="57"/>
      <c r="N27" s="57"/>
      <c r="O27" s="57"/>
      <c r="P27" s="60"/>
      <c r="Q27" s="57"/>
      <c r="R27" s="983">
        <v>15</v>
      </c>
      <c r="S27" s="984"/>
      <c r="T27" s="983" t="s">
        <v>119</v>
      </c>
      <c r="U27" s="984"/>
      <c r="V27" s="979">
        <v>40000</v>
      </c>
      <c r="W27" s="980"/>
      <c r="X27" s="981"/>
      <c r="Y27" s="832">
        <f t="shared" ref="Y27:Y33" si="0">V27*R27</f>
        <v>600000</v>
      </c>
      <c r="Z27" s="833"/>
      <c r="AA27" s="966"/>
      <c r="AB27" s="138"/>
      <c r="AC27" s="165">
        <f>V27*5</f>
        <v>200000</v>
      </c>
      <c r="AD27" s="41"/>
      <c r="AE27" s="165">
        <f>10*V27</f>
        <v>400000</v>
      </c>
      <c r="AF27" s="41"/>
      <c r="AG27" s="41">
        <f>SUM(AC27:AF27)</f>
        <v>600000</v>
      </c>
      <c r="AH27" s="1074"/>
      <c r="AI27" s="1074"/>
      <c r="AJ27" s="1074"/>
      <c r="AK27" s="48"/>
      <c r="AL27" s="48"/>
      <c r="AM27" s="48"/>
    </row>
    <row r="28" spans="1:39" ht="17.100000000000001" customHeight="1" x14ac:dyDescent="0.3">
      <c r="A28" s="298"/>
      <c r="B28" s="7"/>
      <c r="C28" s="7"/>
      <c r="D28" s="7"/>
      <c r="E28" s="7"/>
      <c r="F28" s="7"/>
      <c r="G28" s="7"/>
      <c r="H28" s="7"/>
      <c r="I28" s="7"/>
      <c r="J28" s="7"/>
      <c r="K28" s="73" t="s">
        <v>360</v>
      </c>
      <c r="L28" s="60"/>
      <c r="M28" s="57"/>
      <c r="N28" s="57"/>
      <c r="O28" s="57"/>
      <c r="P28" s="60"/>
      <c r="Q28" s="57"/>
      <c r="R28" s="983">
        <v>7</v>
      </c>
      <c r="S28" s="984"/>
      <c r="T28" s="983" t="s">
        <v>119</v>
      </c>
      <c r="U28" s="984"/>
      <c r="V28" s="979">
        <v>26000</v>
      </c>
      <c r="W28" s="980"/>
      <c r="X28" s="981"/>
      <c r="Y28" s="832">
        <f t="shared" si="0"/>
        <v>182000</v>
      </c>
      <c r="Z28" s="833"/>
      <c r="AA28" s="966"/>
      <c r="AB28" s="138"/>
      <c r="AC28" s="165">
        <f>V28*2</f>
        <v>52000</v>
      </c>
      <c r="AD28" s="41"/>
      <c r="AE28" s="165">
        <f>V28*5</f>
        <v>130000</v>
      </c>
      <c r="AF28" s="41"/>
      <c r="AG28" s="41">
        <f t="shared" ref="AG28:AG36" si="1">SUM(AC28:AF28)</f>
        <v>182000</v>
      </c>
      <c r="AH28" s="1005"/>
      <c r="AI28" s="1005"/>
      <c r="AJ28" s="1073"/>
      <c r="AK28" s="48"/>
      <c r="AL28" s="48"/>
      <c r="AM28" s="48"/>
    </row>
    <row r="29" spans="1:39" ht="17.100000000000001" customHeight="1" x14ac:dyDescent="0.3">
      <c r="A29" s="298"/>
      <c r="B29" s="7"/>
      <c r="C29" s="7"/>
      <c r="D29" s="7"/>
      <c r="E29" s="7"/>
      <c r="F29" s="7"/>
      <c r="G29" s="7"/>
      <c r="H29" s="7"/>
      <c r="I29" s="7"/>
      <c r="J29" s="7"/>
      <c r="K29" s="73" t="s">
        <v>275</v>
      </c>
      <c r="L29" s="60"/>
      <c r="M29" s="57"/>
      <c r="N29" s="57"/>
      <c r="O29" s="57"/>
      <c r="P29" s="60"/>
      <c r="Q29" s="57"/>
      <c r="R29" s="983">
        <v>2</v>
      </c>
      <c r="S29" s="984"/>
      <c r="T29" s="983" t="s">
        <v>119</v>
      </c>
      <c r="U29" s="984"/>
      <c r="V29" s="979">
        <v>70000</v>
      </c>
      <c r="W29" s="980"/>
      <c r="X29" s="981"/>
      <c r="Y29" s="832">
        <f t="shared" si="0"/>
        <v>140000</v>
      </c>
      <c r="Z29" s="833"/>
      <c r="AA29" s="966"/>
      <c r="AB29" s="138"/>
      <c r="AC29" s="165"/>
      <c r="AD29" s="41"/>
      <c r="AE29" s="165">
        <f>Y29</f>
        <v>140000</v>
      </c>
      <c r="AF29" s="41"/>
      <c r="AG29" s="41"/>
      <c r="AH29" s="659"/>
      <c r="AI29" s="659"/>
      <c r="AJ29" s="659"/>
      <c r="AK29" s="48"/>
      <c r="AL29" s="48"/>
      <c r="AM29" s="48"/>
    </row>
    <row r="30" spans="1:39" ht="17.100000000000001" customHeight="1" x14ac:dyDescent="0.3">
      <c r="A30" s="298"/>
      <c r="B30" s="7"/>
      <c r="C30" s="7"/>
      <c r="D30" s="7"/>
      <c r="E30" s="7"/>
      <c r="F30" s="7"/>
      <c r="G30" s="7"/>
      <c r="H30" s="7"/>
      <c r="I30" s="7"/>
      <c r="J30" s="7"/>
      <c r="K30" s="73" t="s">
        <v>417</v>
      </c>
      <c r="L30" s="60"/>
      <c r="M30" s="57"/>
      <c r="N30" s="57"/>
      <c r="O30" s="57"/>
      <c r="P30" s="60"/>
      <c r="Q30" s="57"/>
      <c r="R30" s="983">
        <v>2</v>
      </c>
      <c r="S30" s="984"/>
      <c r="T30" s="983" t="s">
        <v>46</v>
      </c>
      <c r="U30" s="984"/>
      <c r="V30" s="979">
        <v>25000</v>
      </c>
      <c r="W30" s="980"/>
      <c r="X30" s="981"/>
      <c r="Y30" s="832">
        <f t="shared" si="0"/>
        <v>50000</v>
      </c>
      <c r="Z30" s="833"/>
      <c r="AA30" s="966"/>
      <c r="AB30" s="138"/>
      <c r="AC30" s="165">
        <f>V30*1</f>
        <v>25000</v>
      </c>
      <c r="AD30" s="41"/>
      <c r="AE30" s="165">
        <f>V30*1</f>
        <v>25000</v>
      </c>
      <c r="AF30" s="41"/>
      <c r="AG30" s="41"/>
      <c r="AH30" s="659"/>
      <c r="AI30" s="659"/>
      <c r="AJ30" s="659"/>
      <c r="AK30" s="48"/>
      <c r="AL30" s="48"/>
      <c r="AM30" s="48"/>
    </row>
    <row r="31" spans="1:39" ht="17.100000000000001" customHeight="1" x14ac:dyDescent="0.3">
      <c r="A31" s="298"/>
      <c r="B31" s="7"/>
      <c r="C31" s="7"/>
      <c r="D31" s="7"/>
      <c r="E31" s="7"/>
      <c r="F31" s="7"/>
      <c r="G31" s="7"/>
      <c r="H31" s="7"/>
      <c r="I31" s="7"/>
      <c r="J31" s="7"/>
      <c r="K31" s="73" t="s">
        <v>418</v>
      </c>
      <c r="L31" s="60"/>
      <c r="M31" s="57"/>
      <c r="N31" s="57"/>
      <c r="O31" s="57"/>
      <c r="P31" s="60"/>
      <c r="Q31" s="57"/>
      <c r="R31" s="983">
        <v>1</v>
      </c>
      <c r="S31" s="984"/>
      <c r="T31" s="983" t="s">
        <v>46</v>
      </c>
      <c r="U31" s="984"/>
      <c r="V31" s="979">
        <v>55000</v>
      </c>
      <c r="W31" s="980"/>
      <c r="X31" s="981"/>
      <c r="Y31" s="832">
        <f t="shared" si="0"/>
        <v>55000</v>
      </c>
      <c r="Z31" s="833"/>
      <c r="AA31" s="966"/>
      <c r="AB31" s="138"/>
      <c r="AC31" s="165"/>
      <c r="AD31" s="41"/>
      <c r="AE31" s="165">
        <f>Y31</f>
        <v>55000</v>
      </c>
      <c r="AF31" s="41"/>
      <c r="AG31" s="41"/>
      <c r="AH31" s="659"/>
      <c r="AI31" s="659"/>
      <c r="AJ31" s="659"/>
      <c r="AK31" s="48"/>
      <c r="AL31" s="48"/>
      <c r="AM31" s="48"/>
    </row>
    <row r="32" spans="1:39" ht="17.100000000000001" customHeight="1" x14ac:dyDescent="0.3">
      <c r="A32" s="298"/>
      <c r="B32" s="7"/>
      <c r="C32" s="7"/>
      <c r="D32" s="7"/>
      <c r="E32" s="7"/>
      <c r="F32" s="7"/>
      <c r="G32" s="7"/>
      <c r="H32" s="7"/>
      <c r="I32" s="7"/>
      <c r="J32" s="7"/>
      <c r="K32" s="73" t="s">
        <v>358</v>
      </c>
      <c r="L32" s="60"/>
      <c r="M32" s="57"/>
      <c r="N32" s="57"/>
      <c r="O32" s="57"/>
      <c r="P32" s="60"/>
      <c r="Q32" s="57"/>
      <c r="R32" s="983">
        <v>1</v>
      </c>
      <c r="S32" s="984"/>
      <c r="T32" s="983" t="s">
        <v>311</v>
      </c>
      <c r="U32" s="984"/>
      <c r="V32" s="979">
        <v>28000</v>
      </c>
      <c r="W32" s="980"/>
      <c r="X32" s="981"/>
      <c r="Y32" s="832">
        <f t="shared" si="0"/>
        <v>28000</v>
      </c>
      <c r="Z32" s="833"/>
      <c r="AA32" s="966"/>
      <c r="AB32" s="138"/>
      <c r="AC32" s="165">
        <v>0</v>
      </c>
      <c r="AD32" s="41"/>
      <c r="AE32" s="165">
        <f>Y32</f>
        <v>28000</v>
      </c>
      <c r="AF32" s="165"/>
      <c r="AG32" s="41">
        <f t="shared" si="1"/>
        <v>28000</v>
      </c>
      <c r="AH32" s="1074"/>
      <c r="AI32" s="1074"/>
      <c r="AJ32" s="1074"/>
      <c r="AK32" s="48"/>
      <c r="AL32" s="48"/>
      <c r="AM32" s="48"/>
    </row>
    <row r="33" spans="1:39" ht="17.100000000000001" customHeight="1" x14ac:dyDescent="0.3">
      <c r="A33" s="298"/>
      <c r="B33" s="7"/>
      <c r="C33" s="7"/>
      <c r="D33" s="7"/>
      <c r="E33" s="7"/>
      <c r="F33" s="7"/>
      <c r="G33" s="7"/>
      <c r="H33" s="7"/>
      <c r="I33" s="7"/>
      <c r="J33" s="7"/>
      <c r="K33" s="146" t="s">
        <v>210</v>
      </c>
      <c r="L33" s="147"/>
      <c r="M33" s="159"/>
      <c r="N33" s="159"/>
      <c r="O33" s="159"/>
      <c r="P33" s="147"/>
      <c r="Q33" s="159"/>
      <c r="R33" s="983">
        <v>1</v>
      </c>
      <c r="S33" s="984"/>
      <c r="T33" s="983" t="s">
        <v>46</v>
      </c>
      <c r="U33" s="984"/>
      <c r="V33" s="997">
        <v>16000</v>
      </c>
      <c r="W33" s="998"/>
      <c r="X33" s="999"/>
      <c r="Y33" s="832">
        <f t="shared" si="0"/>
        <v>16000</v>
      </c>
      <c r="Z33" s="833"/>
      <c r="AA33" s="966"/>
      <c r="AC33" s="165">
        <f>V33</f>
        <v>16000</v>
      </c>
      <c r="AD33" s="41"/>
      <c r="AE33" s="165">
        <v>0</v>
      </c>
      <c r="AF33" s="41"/>
      <c r="AG33" s="41">
        <f t="shared" si="1"/>
        <v>16000</v>
      </c>
      <c r="AH33" s="1074"/>
      <c r="AI33" s="1074"/>
      <c r="AJ33" s="1074"/>
      <c r="AK33" s="48"/>
      <c r="AL33" s="48"/>
      <c r="AM33" s="48"/>
    </row>
    <row r="34" spans="1:39" ht="17.100000000000001" customHeight="1" x14ac:dyDescent="0.3">
      <c r="A34" s="270" t="s">
        <v>80</v>
      </c>
      <c r="B34" s="23" t="s">
        <v>80</v>
      </c>
      <c r="C34" s="23" t="s">
        <v>98</v>
      </c>
      <c r="D34" s="23" t="s">
        <v>50</v>
      </c>
      <c r="E34" s="23" t="s">
        <v>78</v>
      </c>
      <c r="F34" s="23" t="s">
        <v>40</v>
      </c>
      <c r="G34" s="23" t="s">
        <v>41</v>
      </c>
      <c r="H34" s="23" t="s">
        <v>41</v>
      </c>
      <c r="I34" s="23" t="s">
        <v>42</v>
      </c>
      <c r="J34" s="23"/>
      <c r="K34" s="95" t="s">
        <v>37</v>
      </c>
      <c r="L34" s="60"/>
      <c r="M34" s="57"/>
      <c r="N34" s="57"/>
      <c r="O34" s="57"/>
      <c r="P34" s="60"/>
      <c r="Q34" s="57"/>
      <c r="R34" s="983"/>
      <c r="S34" s="984"/>
      <c r="T34" s="983"/>
      <c r="U34" s="984"/>
      <c r="V34" s="979"/>
      <c r="W34" s="980"/>
      <c r="X34" s="981"/>
      <c r="Y34" s="1023">
        <f>Y35</f>
        <v>450000</v>
      </c>
      <c r="Z34" s="1024"/>
      <c r="AA34" s="1025"/>
      <c r="AC34" s="165"/>
      <c r="AD34" s="41"/>
      <c r="AE34" s="165"/>
      <c r="AF34" s="165"/>
      <c r="AG34" s="41"/>
      <c r="AH34" s="655"/>
      <c r="AI34" s="655"/>
      <c r="AJ34" s="655"/>
      <c r="AK34" s="48"/>
      <c r="AL34" s="48"/>
      <c r="AM34" s="48"/>
    </row>
    <row r="35" spans="1:39" ht="17.100000000000001" customHeight="1" x14ac:dyDescent="0.3">
      <c r="A35" s="271" t="s">
        <v>80</v>
      </c>
      <c r="B35" s="25" t="s">
        <v>80</v>
      </c>
      <c r="C35" s="25" t="s">
        <v>98</v>
      </c>
      <c r="D35" s="25" t="s">
        <v>50</v>
      </c>
      <c r="E35" s="25" t="s">
        <v>78</v>
      </c>
      <c r="F35" s="25" t="s">
        <v>40</v>
      </c>
      <c r="G35" s="25" t="s">
        <v>41</v>
      </c>
      <c r="H35" s="25" t="s">
        <v>41</v>
      </c>
      <c r="I35" s="25" t="s">
        <v>42</v>
      </c>
      <c r="J35" s="25" t="s">
        <v>74</v>
      </c>
      <c r="K35" s="80" t="s">
        <v>251</v>
      </c>
      <c r="L35" s="60"/>
      <c r="M35" s="57"/>
      <c r="N35" s="57"/>
      <c r="O35" s="57"/>
      <c r="P35" s="60"/>
      <c r="Q35" s="57"/>
      <c r="R35" s="1101"/>
      <c r="S35" s="1102"/>
      <c r="T35" s="983"/>
      <c r="U35" s="984"/>
      <c r="V35" s="979"/>
      <c r="W35" s="980"/>
      <c r="X35" s="981"/>
      <c r="Y35" s="832">
        <f>Y37</f>
        <v>450000</v>
      </c>
      <c r="Z35" s="833"/>
      <c r="AA35" s="966"/>
      <c r="AC35" s="165"/>
      <c r="AD35" s="41"/>
      <c r="AE35" s="41"/>
      <c r="AF35" s="41"/>
      <c r="AG35" s="41"/>
      <c r="AH35" s="655"/>
      <c r="AI35" s="655"/>
      <c r="AJ35" s="655"/>
      <c r="AK35" s="48"/>
      <c r="AL35" s="48"/>
      <c r="AM35" s="48"/>
    </row>
    <row r="36" spans="1:39" ht="17.100000000000001" customHeight="1" x14ac:dyDescent="0.3">
      <c r="A36" s="274"/>
      <c r="B36" s="69"/>
      <c r="C36" s="69"/>
      <c r="D36" s="69"/>
      <c r="E36" s="69"/>
      <c r="F36" s="124"/>
      <c r="G36" s="124"/>
      <c r="H36" s="124"/>
      <c r="I36" s="124"/>
      <c r="J36" s="124"/>
      <c r="K36" s="125" t="s">
        <v>252</v>
      </c>
      <c r="L36" s="70"/>
      <c r="M36" s="126"/>
      <c r="N36" s="126"/>
      <c r="O36" s="126"/>
      <c r="P36" s="70"/>
      <c r="Q36" s="126"/>
      <c r="R36" s="153"/>
      <c r="S36" s="154"/>
      <c r="T36" s="148"/>
      <c r="U36" s="149"/>
      <c r="V36" s="155"/>
      <c r="W36" s="156"/>
      <c r="X36" s="157"/>
      <c r="Y36" s="689"/>
      <c r="Z36" s="690"/>
      <c r="AA36" s="691"/>
      <c r="AC36" s="165"/>
      <c r="AD36" s="41">
        <f>Y36</f>
        <v>0</v>
      </c>
      <c r="AE36" s="41"/>
      <c r="AF36" s="41"/>
      <c r="AG36" s="41">
        <f t="shared" si="1"/>
        <v>0</v>
      </c>
      <c r="AH36" s="655"/>
      <c r="AI36" s="655"/>
      <c r="AJ36" s="655"/>
      <c r="AK36" s="48"/>
      <c r="AL36" s="48"/>
      <c r="AM36" s="48"/>
    </row>
    <row r="37" spans="1:39" ht="17.100000000000001" customHeight="1" x14ac:dyDescent="0.3">
      <c r="A37" s="299"/>
      <c r="B37" s="8"/>
      <c r="C37" s="8"/>
      <c r="D37" s="8"/>
      <c r="E37" s="8"/>
      <c r="F37" s="8"/>
      <c r="G37" s="8"/>
      <c r="H37" s="8"/>
      <c r="I37" s="8"/>
      <c r="J37" s="8"/>
      <c r="K37" s="96" t="s">
        <v>419</v>
      </c>
      <c r="L37" s="93"/>
      <c r="M37" s="94"/>
      <c r="N37" s="94"/>
      <c r="O37" s="94"/>
      <c r="P37" s="93"/>
      <c r="Q37" s="94"/>
      <c r="R37" s="1136">
        <v>6</v>
      </c>
      <c r="S37" s="1137"/>
      <c r="T37" s="1129" t="s">
        <v>334</v>
      </c>
      <c r="U37" s="1130"/>
      <c r="V37" s="1126">
        <v>75000</v>
      </c>
      <c r="W37" s="1127"/>
      <c r="X37" s="1128"/>
      <c r="Y37" s="1156">
        <f t="shared" ref="Y37" si="2">V37*R37</f>
        <v>450000</v>
      </c>
      <c r="Z37" s="1157"/>
      <c r="AA37" s="1158"/>
      <c r="AC37" s="167">
        <f>V37*2</f>
        <v>150000</v>
      </c>
      <c r="AD37" s="43"/>
      <c r="AE37" s="167">
        <f>V37*4</f>
        <v>300000</v>
      </c>
      <c r="AF37" s="43"/>
      <c r="AG37" s="43">
        <f>SUM(AC37:AF37)</f>
        <v>450000</v>
      </c>
      <c r="AH37" s="1005"/>
      <c r="AI37" s="1005"/>
      <c r="AJ37" s="1073"/>
      <c r="AK37" s="48"/>
      <c r="AL37" s="48"/>
      <c r="AM37" s="48"/>
    </row>
    <row r="38" spans="1:39" ht="18.399999999999999" customHeight="1" x14ac:dyDescent="0.2">
      <c r="A38" s="276"/>
      <c r="B38" s="42"/>
      <c r="C38" s="42"/>
      <c r="D38" s="42"/>
      <c r="E38" s="42"/>
      <c r="F38" s="42"/>
      <c r="G38" s="42"/>
      <c r="H38" s="42"/>
      <c r="I38" s="42"/>
      <c r="J38" s="42"/>
      <c r="K38" s="49"/>
      <c r="L38" s="49"/>
      <c r="M38" s="49"/>
      <c r="N38" s="49"/>
      <c r="O38" s="49"/>
      <c r="P38" s="49"/>
      <c r="Q38" s="49"/>
      <c r="R38" s="1120"/>
      <c r="S38" s="1120"/>
      <c r="T38" s="1119"/>
      <c r="U38" s="1119"/>
      <c r="V38" s="1112" t="s">
        <v>28</v>
      </c>
      <c r="W38" s="1112"/>
      <c r="X38" s="1113"/>
      <c r="Y38" s="1122">
        <f>Y34+Y25</f>
        <v>1521000</v>
      </c>
      <c r="Z38" s="1123"/>
      <c r="AA38" s="1124"/>
      <c r="AC38" s="167">
        <f>SUM(AC27:AC37)</f>
        <v>443000</v>
      </c>
      <c r="AD38" s="167">
        <f>SUM(AD27:AD37)</f>
        <v>0</v>
      </c>
      <c r="AE38" s="167">
        <f>SUM(AE27:AE37)</f>
        <v>1078000</v>
      </c>
      <c r="AF38" s="167">
        <f>SUM(AF27:AF37)</f>
        <v>0</v>
      </c>
      <c r="AG38" s="43">
        <f>SUM(AC38:AF38)</f>
        <v>1521000</v>
      </c>
      <c r="AH38" s="169"/>
      <c r="AI38" s="169"/>
      <c r="AJ38" s="169"/>
      <c r="AK38" s="45"/>
      <c r="AL38" s="45"/>
      <c r="AM38" s="45"/>
    </row>
    <row r="39" spans="1:39" ht="18.399999999999999" customHeight="1" x14ac:dyDescent="0.2">
      <c r="A39" s="277"/>
      <c r="B39" s="16" t="s">
        <v>306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67"/>
      <c r="AC39" s="167"/>
      <c r="AD39" s="167"/>
      <c r="AE39" s="167"/>
      <c r="AF39" s="167"/>
      <c r="AG39" s="167"/>
      <c r="AH39" s="169"/>
      <c r="AI39" s="169"/>
      <c r="AJ39" s="169"/>
      <c r="AK39" s="48"/>
      <c r="AL39" s="48"/>
      <c r="AM39" s="48"/>
    </row>
    <row r="40" spans="1:39" ht="18.399999999999999" customHeight="1" x14ac:dyDescent="0.2">
      <c r="A40" s="278"/>
      <c r="B40" s="13" t="s">
        <v>29</v>
      </c>
      <c r="C40" s="27"/>
      <c r="D40" s="13"/>
      <c r="E40" s="40"/>
      <c r="F40" s="40" t="s">
        <v>89</v>
      </c>
      <c r="G40" s="878">
        <v>0</v>
      </c>
      <c r="H40" s="878"/>
      <c r="I40" s="878"/>
      <c r="J40" s="878"/>
      <c r="K40" s="13"/>
      <c r="L40" s="13"/>
      <c r="M40" s="13"/>
      <c r="N40" s="13"/>
      <c r="O40" s="28"/>
      <c r="P40" s="28"/>
      <c r="Q40" s="28"/>
      <c r="R40" s="28"/>
      <c r="S40" s="28"/>
      <c r="T40" s="28"/>
      <c r="U40" s="679" t="str">
        <f>Pel.Um!U33</f>
        <v>CAMAT SUKOHARJO</v>
      </c>
      <c r="V40" s="13"/>
      <c r="W40" s="679"/>
      <c r="X40" s="13"/>
      <c r="Y40" s="13"/>
      <c r="Z40" s="13"/>
      <c r="AA40" s="279"/>
    </row>
    <row r="41" spans="1:39" ht="18.399999999999999" customHeight="1" x14ac:dyDescent="0.2">
      <c r="A41" s="278"/>
      <c r="B41" s="13" t="s">
        <v>30</v>
      </c>
      <c r="C41" s="27"/>
      <c r="D41" s="13"/>
      <c r="E41" s="40"/>
      <c r="F41" s="40" t="s">
        <v>89</v>
      </c>
      <c r="G41" s="878">
        <f>AC38</f>
        <v>443000</v>
      </c>
      <c r="H41" s="878"/>
      <c r="I41" s="878"/>
      <c r="J41" s="878"/>
      <c r="K41" s="13"/>
      <c r="L41" s="13"/>
      <c r="M41" s="13"/>
      <c r="N41" s="13"/>
      <c r="O41" s="28"/>
      <c r="P41" s="28"/>
      <c r="Q41" s="28"/>
      <c r="R41" s="28"/>
      <c r="S41" s="28"/>
      <c r="T41" s="28"/>
      <c r="U41" s="679"/>
      <c r="V41" s="13"/>
      <c r="W41" s="679"/>
      <c r="X41" s="13"/>
      <c r="Y41" s="13"/>
      <c r="Z41" s="13"/>
      <c r="AA41" s="279"/>
    </row>
    <row r="42" spans="1:39" ht="18.399999999999999" customHeight="1" x14ac:dyDescent="0.2">
      <c r="A42" s="278"/>
      <c r="B42" s="13" t="s">
        <v>31</v>
      </c>
      <c r="C42" s="27"/>
      <c r="D42" s="13"/>
      <c r="E42" s="40"/>
      <c r="F42" s="40" t="s">
        <v>89</v>
      </c>
      <c r="G42" s="878">
        <f>AE38</f>
        <v>1078000</v>
      </c>
      <c r="H42" s="878"/>
      <c r="I42" s="878"/>
      <c r="J42" s="878"/>
      <c r="K42" s="13"/>
      <c r="L42" s="13"/>
      <c r="M42" s="13"/>
      <c r="N42" s="13"/>
      <c r="O42" s="28"/>
      <c r="P42" s="28"/>
      <c r="Q42" s="28"/>
      <c r="R42" s="28"/>
      <c r="S42" s="28"/>
      <c r="T42" s="28"/>
      <c r="U42" s="679"/>
      <c r="V42" s="13"/>
      <c r="W42" s="679"/>
      <c r="X42" s="13"/>
      <c r="Y42" s="13"/>
      <c r="Z42" s="13"/>
      <c r="AA42" s="279"/>
      <c r="AI42" s="164"/>
    </row>
    <row r="43" spans="1:39" ht="18.399999999999999" customHeight="1" x14ac:dyDescent="0.2">
      <c r="A43" s="278"/>
      <c r="B43" s="13" t="s">
        <v>32</v>
      </c>
      <c r="C43" s="30"/>
      <c r="D43" s="29"/>
      <c r="E43" s="40"/>
      <c r="F43" s="40" t="s">
        <v>89</v>
      </c>
      <c r="G43" s="878">
        <f>AF38</f>
        <v>0</v>
      </c>
      <c r="H43" s="878"/>
      <c r="I43" s="878"/>
      <c r="J43" s="878"/>
      <c r="K43" s="13"/>
      <c r="L43" s="13"/>
      <c r="M43" s="13"/>
      <c r="N43" s="13"/>
      <c r="O43" s="31"/>
      <c r="P43" s="31"/>
      <c r="Q43" s="31"/>
      <c r="R43" s="31"/>
      <c r="S43" s="31"/>
      <c r="T43" s="31"/>
      <c r="U43" s="679"/>
      <c r="V43" s="13"/>
      <c r="W43" s="52"/>
      <c r="X43" s="13"/>
      <c r="Y43" s="13"/>
      <c r="Z43" s="13"/>
      <c r="AA43" s="279"/>
    </row>
    <row r="44" spans="1:39" ht="15" customHeight="1" thickBot="1" x14ac:dyDescent="0.25">
      <c r="A44" s="278"/>
      <c r="B44" s="13"/>
      <c r="C44" s="13"/>
      <c r="D44" s="62" t="s">
        <v>28</v>
      </c>
      <c r="E44" s="40"/>
      <c r="F44" s="40" t="s">
        <v>89</v>
      </c>
      <c r="G44" s="877">
        <f>SUM(G40:J43)</f>
        <v>1521000</v>
      </c>
      <c r="H44" s="877"/>
      <c r="I44" s="877"/>
      <c r="J44" s="87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52" t="str">
        <f>Pel.Um!U37</f>
        <v>DUDI WARDOYO, AP, M.M</v>
      </c>
      <c r="V44" s="13"/>
      <c r="W44" s="679"/>
      <c r="X44" s="13"/>
      <c r="Y44" s="34"/>
      <c r="Z44" s="34"/>
      <c r="AA44" s="280"/>
    </row>
    <row r="45" spans="1:39" ht="12" customHeight="1" thickTop="1" x14ac:dyDescent="0.2">
      <c r="A45" s="278"/>
      <c r="B45" s="13"/>
      <c r="C45" s="13"/>
      <c r="D45" s="62"/>
      <c r="E45" s="40"/>
      <c r="F45" s="40"/>
      <c r="G45" s="622"/>
      <c r="H45" s="622"/>
      <c r="I45" s="622"/>
      <c r="J45" s="62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679" t="str">
        <f>Pel.Um!U38</f>
        <v>Pembina Tk. I</v>
      </c>
      <c r="V45" s="13"/>
      <c r="W45" s="679"/>
      <c r="X45" s="13"/>
      <c r="Y45" s="34"/>
      <c r="Z45" s="34"/>
      <c r="AA45" s="280"/>
    </row>
    <row r="46" spans="1:39" ht="12.75" customHeight="1" x14ac:dyDescent="0.2">
      <c r="A46" s="28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679" t="str">
        <f>Pel.Um!U39</f>
        <v>NIP. 19741009 199311 1 001</v>
      </c>
      <c r="V46" s="10"/>
      <c r="W46" s="679"/>
      <c r="X46" s="10"/>
      <c r="Y46" s="10"/>
      <c r="Z46" s="10"/>
      <c r="AA46" s="282"/>
    </row>
    <row r="47" spans="1:39" s="138" customFormat="1" ht="18.75" customHeight="1" x14ac:dyDescent="0.2">
      <c r="A47" s="865" t="s">
        <v>194</v>
      </c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519"/>
      <c r="T47" s="520"/>
      <c r="U47" s="520"/>
      <c r="V47" s="520"/>
      <c r="W47" s="520"/>
      <c r="X47" s="520"/>
      <c r="Y47" s="520"/>
      <c r="Z47" s="520"/>
      <c r="AA47" s="521"/>
      <c r="AD47" s="136"/>
      <c r="AG47" s="136"/>
      <c r="AI47" s="136"/>
      <c r="AL47" s="136"/>
    </row>
    <row r="48" spans="1:39" s="138" customFormat="1" ht="3.75" customHeight="1" x14ac:dyDescent="0.2">
      <c r="A48" s="382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516"/>
      <c r="T48" s="151"/>
      <c r="U48" s="151"/>
      <c r="V48" s="151"/>
      <c r="W48" s="151"/>
      <c r="X48" s="151"/>
      <c r="Y48" s="151"/>
      <c r="Z48" s="151"/>
      <c r="AA48" s="518"/>
      <c r="AD48" s="136"/>
      <c r="AG48" s="136"/>
      <c r="AI48" s="136"/>
      <c r="AL48" s="136"/>
    </row>
    <row r="49" spans="1:36" ht="15" customHeight="1" x14ac:dyDescent="0.2">
      <c r="A49" s="27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2"/>
      <c r="T49" s="13"/>
      <c r="U49" s="13"/>
      <c r="V49" s="13"/>
      <c r="W49" s="679" t="str">
        <f>Pel.Um!W42</f>
        <v>Wonosobo,        Januari 2019</v>
      </c>
      <c r="X49" s="13"/>
      <c r="Y49" s="13"/>
      <c r="Z49" s="13"/>
      <c r="AA49" s="279"/>
    </row>
    <row r="50" spans="1:36" ht="9" customHeight="1" x14ac:dyDescent="0.2">
      <c r="A50" s="27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2"/>
      <c r="T50" s="13"/>
      <c r="U50" s="13"/>
      <c r="V50" s="13"/>
      <c r="W50" s="679"/>
      <c r="X50" s="13"/>
      <c r="Y50" s="13"/>
      <c r="Z50" s="13"/>
      <c r="AA50" s="279"/>
      <c r="AB50" s="33"/>
      <c r="AC50" s="33"/>
      <c r="AD50" s="33"/>
      <c r="AE50" s="33"/>
      <c r="AF50" s="33"/>
      <c r="AG50" s="33"/>
    </row>
    <row r="51" spans="1:36" ht="12.75" customHeight="1" x14ac:dyDescent="0.2">
      <c r="A51" s="283"/>
      <c r="B51" s="26" t="s">
        <v>34</v>
      </c>
      <c r="C51" s="13" t="str">
        <f>Pel.Um!C44</f>
        <v>RIDWAN SETIA N, S.Kom</v>
      </c>
      <c r="D51" s="13"/>
      <c r="E51" s="13"/>
      <c r="F51" s="47"/>
      <c r="G51" s="47"/>
      <c r="H51" s="47"/>
      <c r="K51" s="64" t="s">
        <v>34</v>
      </c>
      <c r="L51" s="47" t="s">
        <v>196</v>
      </c>
      <c r="M51" s="47"/>
      <c r="N51" s="47"/>
      <c r="O51" s="13"/>
      <c r="P51" s="13"/>
      <c r="Q51" s="13"/>
      <c r="R51" s="47"/>
      <c r="S51" s="522"/>
      <c r="T51" s="47"/>
      <c r="U51" s="13"/>
      <c r="V51" s="13"/>
      <c r="W51" s="679" t="s">
        <v>33</v>
      </c>
      <c r="X51" s="13"/>
      <c r="Y51" s="13"/>
      <c r="Z51" s="13"/>
      <c r="AA51" s="279"/>
      <c r="AB51" s="33"/>
      <c r="AC51" s="33"/>
      <c r="AD51" s="33"/>
      <c r="AE51" s="33"/>
      <c r="AF51" s="33"/>
      <c r="AG51" s="33"/>
    </row>
    <row r="52" spans="1:36" ht="18.75" customHeight="1" x14ac:dyDescent="0.2">
      <c r="A52" s="283"/>
      <c r="B52" s="26"/>
      <c r="C52" s="13"/>
      <c r="D52" s="13"/>
      <c r="E52" s="13"/>
      <c r="F52" s="13"/>
      <c r="G52" s="13"/>
      <c r="H52" s="13"/>
      <c r="K52" s="13"/>
      <c r="L52" s="13"/>
      <c r="M52" s="13"/>
      <c r="N52" s="13"/>
      <c r="O52" s="13"/>
      <c r="P52" s="13"/>
      <c r="Q52" s="13"/>
      <c r="R52" s="13"/>
      <c r="S52" s="12"/>
      <c r="T52" s="13"/>
      <c r="U52" s="13"/>
      <c r="V52" s="13"/>
      <c r="W52" s="679" t="s">
        <v>85</v>
      </c>
      <c r="X52" s="13"/>
      <c r="Y52" s="13"/>
      <c r="Z52" s="13"/>
      <c r="AA52" s="279"/>
      <c r="AB52" s="33"/>
      <c r="AC52" s="33"/>
      <c r="AD52" s="33"/>
      <c r="AE52" s="33"/>
      <c r="AF52" s="33"/>
      <c r="AG52" s="33"/>
    </row>
    <row r="53" spans="1:36" ht="14.25" customHeight="1" x14ac:dyDescent="0.2">
      <c r="A53" s="283"/>
      <c r="D53" s="13"/>
      <c r="E53" s="13"/>
      <c r="F53" s="47"/>
      <c r="G53" s="47"/>
      <c r="H53" s="47"/>
      <c r="K53" s="47"/>
      <c r="L53" s="47"/>
      <c r="O53" s="13"/>
      <c r="P53" s="13"/>
      <c r="Q53" s="13"/>
      <c r="R53" s="47"/>
      <c r="S53" s="522"/>
      <c r="T53" s="47"/>
      <c r="U53" s="13"/>
      <c r="V53" s="13"/>
      <c r="W53" s="65"/>
      <c r="X53" s="13"/>
      <c r="Y53" s="13"/>
      <c r="Z53" s="13"/>
      <c r="AA53" s="279"/>
    </row>
    <row r="54" spans="1:36" ht="14.25" customHeight="1" x14ac:dyDescent="0.2">
      <c r="A54" s="278"/>
      <c r="B54" s="26" t="s">
        <v>35</v>
      </c>
      <c r="C54" s="13" t="str">
        <f>Pel.Um!C47</f>
        <v>SABAR KHOIRI</v>
      </c>
      <c r="D54" s="44"/>
      <c r="E54" s="44"/>
      <c r="F54" s="44"/>
      <c r="G54" s="44"/>
      <c r="H54" s="44"/>
      <c r="K54" s="64" t="s">
        <v>35</v>
      </c>
      <c r="L54" s="47" t="s">
        <v>305</v>
      </c>
      <c r="M54" s="44"/>
      <c r="N54" s="44"/>
      <c r="O54" s="13"/>
      <c r="P54" s="13"/>
      <c r="Q54" s="13"/>
      <c r="R54" s="44"/>
      <c r="S54" s="46"/>
      <c r="T54" s="44"/>
      <c r="U54" s="44"/>
      <c r="V54" s="44"/>
      <c r="W54" s="679"/>
      <c r="X54" s="44"/>
      <c r="Y54" s="44"/>
      <c r="Z54" s="44"/>
      <c r="AA54" s="284"/>
    </row>
    <row r="55" spans="1:36" s="33" customFormat="1" ht="17.25" customHeight="1" x14ac:dyDescent="0.2">
      <c r="A55" s="285"/>
      <c r="B55" s="26"/>
      <c r="C55" s="13"/>
      <c r="D55" s="13"/>
      <c r="E55" s="13"/>
      <c r="F55" s="679"/>
      <c r="G55" s="679"/>
      <c r="H55" s="679"/>
      <c r="I55" s="680"/>
      <c r="J55" s="680"/>
      <c r="K55" s="64"/>
      <c r="L55" s="47"/>
      <c r="M55" s="679"/>
      <c r="N55" s="679"/>
      <c r="O55" s="679"/>
      <c r="P55" s="679"/>
      <c r="Q55" s="679"/>
      <c r="R55" s="679"/>
      <c r="S55" s="36"/>
      <c r="T55" s="679"/>
      <c r="U55" s="66"/>
      <c r="V55" s="66"/>
      <c r="W55" s="52" t="str">
        <f>Pel.Um!W48</f>
        <v>Drs. M. KRISTIJADI, M.Si</v>
      </c>
      <c r="X55" s="66"/>
      <c r="Y55" s="66"/>
      <c r="Z55" s="13"/>
      <c r="AA55" s="279"/>
      <c r="AB55" s="15"/>
      <c r="AC55" s="15"/>
      <c r="AD55" s="15"/>
      <c r="AE55" s="15"/>
      <c r="AF55" s="15"/>
      <c r="AG55" s="15"/>
      <c r="AH55" s="139"/>
      <c r="AI55" s="139"/>
      <c r="AJ55" s="139"/>
    </row>
    <row r="56" spans="1:36" s="33" customFormat="1" ht="13.5" customHeight="1" x14ac:dyDescent="0.2">
      <c r="A56" s="285"/>
      <c r="B56" s="26"/>
      <c r="C56" s="13"/>
      <c r="D56" s="13"/>
      <c r="E56" s="13"/>
      <c r="F56" s="679"/>
      <c r="G56" s="679"/>
      <c r="H56" s="679"/>
      <c r="I56" s="64"/>
      <c r="J56" s="47"/>
      <c r="K56" s="679"/>
      <c r="L56" s="679"/>
      <c r="M56" s="679"/>
      <c r="N56" s="679"/>
      <c r="O56" s="679"/>
      <c r="P56" s="679"/>
      <c r="Q56" s="679"/>
      <c r="R56" s="679"/>
      <c r="S56" s="36"/>
      <c r="T56" s="679"/>
      <c r="U56" s="66"/>
      <c r="V56" s="66"/>
      <c r="W56" s="679" t="str">
        <f>Pel.Um!W49</f>
        <v>Pembina Utama Muda</v>
      </c>
      <c r="X56" s="66"/>
      <c r="Y56" s="66"/>
      <c r="Z56" s="13"/>
      <c r="AA56" s="279"/>
      <c r="AB56" s="15"/>
      <c r="AC56" s="15"/>
      <c r="AD56" s="15"/>
      <c r="AE56" s="15"/>
      <c r="AF56" s="15"/>
      <c r="AG56" s="15"/>
      <c r="AH56" s="139"/>
      <c r="AI56" s="139"/>
      <c r="AJ56" s="139"/>
    </row>
    <row r="57" spans="1:36" s="33" customFormat="1" ht="12.75" customHeight="1" x14ac:dyDescent="0.2">
      <c r="A57" s="285"/>
      <c r="B57" s="679"/>
      <c r="C57" s="679"/>
      <c r="D57" s="679"/>
      <c r="E57" s="679"/>
      <c r="F57" s="679"/>
      <c r="G57" s="26"/>
      <c r="H57" s="13"/>
      <c r="I57" s="13"/>
      <c r="J57" s="13"/>
      <c r="K57" s="679"/>
      <c r="L57" s="679"/>
      <c r="M57" s="679"/>
      <c r="N57" s="64"/>
      <c r="O57" s="47"/>
      <c r="P57" s="679"/>
      <c r="Q57" s="679"/>
      <c r="R57" s="679"/>
      <c r="S57" s="36"/>
      <c r="T57" s="679"/>
      <c r="U57" s="66"/>
      <c r="V57" s="66"/>
      <c r="W57" s="679" t="str">
        <f>Pel.Um!W50</f>
        <v>NIP. 19681226 199403 1 005</v>
      </c>
      <c r="X57" s="66"/>
      <c r="Y57" s="66"/>
      <c r="Z57" s="13"/>
      <c r="AA57" s="279"/>
      <c r="AB57" s="15"/>
      <c r="AC57" s="15"/>
      <c r="AD57" s="15"/>
      <c r="AE57" s="15"/>
      <c r="AF57" s="15"/>
      <c r="AG57" s="15"/>
      <c r="AH57" s="139"/>
      <c r="AI57" s="139"/>
      <c r="AJ57" s="139"/>
    </row>
    <row r="58" spans="1:36" ht="6" customHeight="1" thickBot="1" x14ac:dyDescent="0.25">
      <c r="A58" s="286"/>
      <c r="B58" s="287"/>
      <c r="C58" s="287"/>
      <c r="D58" s="287"/>
      <c r="E58" s="287"/>
      <c r="F58" s="287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524"/>
      <c r="T58" s="288"/>
      <c r="U58" s="288"/>
      <c r="V58" s="288"/>
      <c r="W58" s="289"/>
      <c r="X58" s="288"/>
      <c r="Y58" s="288"/>
      <c r="Z58" s="288"/>
      <c r="AA58" s="290"/>
    </row>
    <row r="59" spans="1:36" ht="17.25" thickTop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36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36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36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36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</sheetData>
  <mergeCells count="99">
    <mergeCell ref="V32:X32"/>
    <mergeCell ref="Y32:AA32"/>
    <mergeCell ref="R28:S28"/>
    <mergeCell ref="T28:U28"/>
    <mergeCell ref="V28:X28"/>
    <mergeCell ref="Y28:AA28"/>
    <mergeCell ref="V31:X31"/>
    <mergeCell ref="Y34:AA34"/>
    <mergeCell ref="AH25:AJ25"/>
    <mergeCell ref="AH37:AJ37"/>
    <mergeCell ref="AH33:AJ33"/>
    <mergeCell ref="AH26:AJ26"/>
    <mergeCell ref="AH27:AJ27"/>
    <mergeCell ref="AH28:AJ28"/>
    <mergeCell ref="AH32:AJ32"/>
    <mergeCell ref="V34:X34"/>
    <mergeCell ref="V35:X35"/>
    <mergeCell ref="Y24:AA24"/>
    <mergeCell ref="T23:U23"/>
    <mergeCell ref="V23:X23"/>
    <mergeCell ref="V33:X33"/>
    <mergeCell ref="V25:X25"/>
    <mergeCell ref="Y25:AA25"/>
    <mergeCell ref="Y26:AA26"/>
    <mergeCell ref="Y27:AA27"/>
    <mergeCell ref="Y29:AA29"/>
    <mergeCell ref="Y35:AA35"/>
    <mergeCell ref="Y31:AA31"/>
    <mergeCell ref="Y23:AA23"/>
    <mergeCell ref="Y33:AA33"/>
    <mergeCell ref="Y30:AA30"/>
    <mergeCell ref="R23:S23"/>
    <mergeCell ref="V30:X30"/>
    <mergeCell ref="T25:U25"/>
    <mergeCell ref="V24:X24"/>
    <mergeCell ref="R29:S29"/>
    <mergeCell ref="T26:U26"/>
    <mergeCell ref="T29:U29"/>
    <mergeCell ref="R26:S26"/>
    <mergeCell ref="V26:X26"/>
    <mergeCell ref="V27:X27"/>
    <mergeCell ref="V29:X29"/>
    <mergeCell ref="T27:U27"/>
    <mergeCell ref="R27:S27"/>
    <mergeCell ref="A1:Q1"/>
    <mergeCell ref="A13:F13"/>
    <mergeCell ref="M5:AA5"/>
    <mergeCell ref="Y15:AA15"/>
    <mergeCell ref="Y14:AA14"/>
    <mergeCell ref="A12:AA12"/>
    <mergeCell ref="Y13:AA13"/>
    <mergeCell ref="A2:Q2"/>
    <mergeCell ref="A4:AA4"/>
    <mergeCell ref="A3:AA3"/>
    <mergeCell ref="Y1:AA2"/>
    <mergeCell ref="R1:X1"/>
    <mergeCell ref="Y17:AA17"/>
    <mergeCell ref="Y16:AA16"/>
    <mergeCell ref="G13:X13"/>
    <mergeCell ref="V22:X22"/>
    <mergeCell ref="A19:AA19"/>
    <mergeCell ref="A20:AA20"/>
    <mergeCell ref="K21:Q22"/>
    <mergeCell ref="Y21:AA22"/>
    <mergeCell ref="A21:J22"/>
    <mergeCell ref="T22:U22"/>
    <mergeCell ref="R22:S22"/>
    <mergeCell ref="K23:Q23"/>
    <mergeCell ref="R21:X21"/>
    <mergeCell ref="Y38:AA38"/>
    <mergeCell ref="G41:J41"/>
    <mergeCell ref="G40:J40"/>
    <mergeCell ref="T38:U38"/>
    <mergeCell ref="V37:X37"/>
    <mergeCell ref="V38:X38"/>
    <mergeCell ref="T37:U37"/>
    <mergeCell ref="R37:S37"/>
    <mergeCell ref="R38:S38"/>
    <mergeCell ref="Y37:AA37"/>
    <mergeCell ref="T24:U24"/>
    <mergeCell ref="R24:S24"/>
    <mergeCell ref="A23:J23"/>
    <mergeCell ref="R25:S25"/>
    <mergeCell ref="A47:R47"/>
    <mergeCell ref="T34:U34"/>
    <mergeCell ref="R33:S33"/>
    <mergeCell ref="R31:S31"/>
    <mergeCell ref="R30:S30"/>
    <mergeCell ref="R35:S35"/>
    <mergeCell ref="T33:U33"/>
    <mergeCell ref="T30:U30"/>
    <mergeCell ref="G44:J44"/>
    <mergeCell ref="G43:J43"/>
    <mergeCell ref="G42:J42"/>
    <mergeCell ref="T31:U31"/>
    <mergeCell ref="R34:S34"/>
    <mergeCell ref="T35:U35"/>
    <mergeCell ref="R32:S32"/>
    <mergeCell ref="T32:U32"/>
  </mergeCells>
  <phoneticPr fontId="2" type="noConversion"/>
  <printOptions horizontalCentered="1"/>
  <pageMargins left="0.31496062992125984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64"/>
  <sheetViews>
    <sheetView showGridLines="0" view="pageBreakPreview" topLeftCell="I46" workbookViewId="0">
      <selection activeCell="AC34" sqref="AC34"/>
    </sheetView>
  </sheetViews>
  <sheetFormatPr defaultColWidth="4.42578125" defaultRowHeight="16.5" x14ac:dyDescent="0.2"/>
  <cols>
    <col min="1" max="10" width="3.7109375" style="15" customWidth="1"/>
    <col min="11" max="27" width="4.42578125" style="15" customWidth="1"/>
    <col min="28" max="28" width="4.42578125" style="15"/>
    <col min="29" max="29" width="11.85546875" style="15" customWidth="1"/>
    <col min="30" max="30" width="9.85546875" style="15" customWidth="1"/>
    <col min="31" max="31" width="10" style="15" customWidth="1"/>
    <col min="32" max="33" width="13.28515625" style="15" customWidth="1"/>
    <col min="34" max="34" width="10.28515625" style="15" customWidth="1"/>
    <col min="35" max="37" width="5" style="138" customWidth="1"/>
    <col min="38" max="40" width="5" style="15" customWidth="1"/>
    <col min="41" max="16384" width="4.42578125" style="15"/>
  </cols>
  <sheetData>
    <row r="1" spans="1:39" ht="19.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9" ht="27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02</v>
      </c>
      <c r="V2" s="56" t="str">
        <f>L8</f>
        <v>22</v>
      </c>
      <c r="W2" s="56" t="s">
        <v>40</v>
      </c>
      <c r="X2" s="56" t="s">
        <v>41</v>
      </c>
      <c r="Y2" s="777"/>
      <c r="Z2" s="778"/>
      <c r="AA2" s="779"/>
    </row>
    <row r="3" spans="1:39" ht="1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9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9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  <c r="AI5" s="15"/>
      <c r="AJ5" s="15"/>
      <c r="AK5" s="15"/>
    </row>
    <row r="6" spans="1:39" ht="17.100000000000001" customHeight="1" x14ac:dyDescent="0.2">
      <c r="A6" s="266" t="s">
        <v>19</v>
      </c>
      <c r="B6" s="119"/>
      <c r="C6" s="119"/>
      <c r="D6" s="119"/>
      <c r="E6" s="119"/>
      <c r="F6" s="119"/>
      <c r="G6" s="683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9" ht="17.100000000000001" customHeight="1" x14ac:dyDescent="0.2">
      <c r="A7" s="266" t="s">
        <v>20</v>
      </c>
      <c r="B7" s="119"/>
      <c r="C7" s="119"/>
      <c r="D7" s="119"/>
      <c r="E7" s="119"/>
      <c r="F7" s="119"/>
      <c r="G7" s="683" t="s">
        <v>89</v>
      </c>
      <c r="H7" s="61" t="s">
        <v>328</v>
      </c>
      <c r="I7" s="61"/>
      <c r="J7" s="61"/>
      <c r="K7" s="61" t="s">
        <v>50</v>
      </c>
      <c r="L7" s="61"/>
      <c r="M7" s="16" t="s">
        <v>181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9" ht="17.100000000000001" customHeight="1" x14ac:dyDescent="0.2">
      <c r="A8" s="268" t="s">
        <v>21</v>
      </c>
      <c r="B8" s="120"/>
      <c r="C8" s="120"/>
      <c r="D8" s="120"/>
      <c r="E8" s="120"/>
      <c r="F8" s="120"/>
      <c r="G8" s="683" t="s">
        <v>89</v>
      </c>
      <c r="H8" s="61" t="s">
        <v>328</v>
      </c>
      <c r="I8" s="61"/>
      <c r="J8" s="61"/>
      <c r="K8" s="61" t="s">
        <v>50</v>
      </c>
      <c r="L8" s="61" t="s">
        <v>98</v>
      </c>
      <c r="M8" s="16" t="s">
        <v>211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9" ht="17.100000000000001" customHeight="1" x14ac:dyDescent="0.2">
      <c r="A9" s="268" t="s">
        <v>22</v>
      </c>
      <c r="B9" s="120"/>
      <c r="C9" s="120"/>
      <c r="D9" s="120"/>
      <c r="E9" s="120"/>
      <c r="F9" s="120"/>
      <c r="G9" s="683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9" ht="17.100000000000001" customHeight="1" x14ac:dyDescent="0.2">
      <c r="A10" s="268" t="s">
        <v>23</v>
      </c>
      <c r="B10" s="120"/>
      <c r="C10" s="120"/>
      <c r="D10" s="120"/>
      <c r="E10" s="120"/>
      <c r="F10" s="120"/>
      <c r="G10" s="683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9" ht="17.100000000000001" customHeight="1" x14ac:dyDescent="0.2">
      <c r="A11" s="268" t="s">
        <v>24</v>
      </c>
      <c r="B11" s="120"/>
      <c r="C11" s="120"/>
      <c r="D11" s="120"/>
      <c r="E11" s="120"/>
      <c r="F11" s="120"/>
      <c r="G11" s="683" t="s">
        <v>89</v>
      </c>
      <c r="H11" s="18" t="s">
        <v>385</v>
      </c>
      <c r="I11" s="18"/>
      <c r="J11" s="16"/>
      <c r="K11" s="13"/>
      <c r="L11" s="13"/>
      <c r="M11" s="20"/>
      <c r="N11" s="20"/>
      <c r="O11" s="20"/>
      <c r="P11" s="20"/>
      <c r="Q11" s="18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9" ht="17.100000000000001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J12" s="162"/>
      <c r="AM12" s="50"/>
    </row>
    <row r="13" spans="1:39" ht="17.100000000000001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9" ht="17.100000000000001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148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  <c r="AJ14" s="162"/>
      <c r="AM14" s="50"/>
    </row>
    <row r="15" spans="1:39" ht="17.100000000000001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5000000</v>
      </c>
      <c r="Z15" s="892"/>
      <c r="AA15" s="893"/>
      <c r="AD15" s="51"/>
      <c r="AJ15" s="163"/>
      <c r="AM15" s="51"/>
    </row>
    <row r="16" spans="1:39" ht="17.100000000000001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149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40" ht="17.100000000000001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149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  <c r="AJ17" s="163"/>
      <c r="AM17" s="51"/>
    </row>
    <row r="18" spans="1:40" ht="17.100000000000001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J18" s="163"/>
      <c r="AM18" s="51"/>
    </row>
    <row r="19" spans="1:40" ht="18.399999999999999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40" ht="12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J20" s="164"/>
      <c r="AM20" s="48"/>
    </row>
    <row r="21" spans="1:40" ht="17.2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40" ht="18.399999999999999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40" ht="18.399999999999999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40" ht="18.399999999999999" customHeight="1" x14ac:dyDescent="0.2">
      <c r="A24" s="556" t="s">
        <v>323</v>
      </c>
      <c r="B24" s="557" t="s">
        <v>323</v>
      </c>
      <c r="C24" s="557" t="s">
        <v>277</v>
      </c>
      <c r="D24" s="83" t="s">
        <v>50</v>
      </c>
      <c r="E24" s="83" t="s">
        <v>98</v>
      </c>
      <c r="F24" s="23" t="s">
        <v>40</v>
      </c>
      <c r="G24" s="23" t="s">
        <v>41</v>
      </c>
      <c r="H24" s="23" t="s">
        <v>41</v>
      </c>
      <c r="I24" s="23"/>
      <c r="J24" s="23"/>
      <c r="K24" s="91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Y25+Y35</f>
        <v>5000000</v>
      </c>
      <c r="Z24" s="918"/>
      <c r="AA24" s="948"/>
      <c r="AC24" s="48"/>
    </row>
    <row r="25" spans="1:40" ht="18.399999999999999" customHeight="1" x14ac:dyDescent="0.3">
      <c r="A25" s="270" t="s">
        <v>323</v>
      </c>
      <c r="B25" s="23" t="s">
        <v>323</v>
      </c>
      <c r="C25" s="23" t="s">
        <v>277</v>
      </c>
      <c r="D25" s="23" t="s">
        <v>50</v>
      </c>
      <c r="E25" s="23" t="s">
        <v>98</v>
      </c>
      <c r="F25" s="23" t="s">
        <v>40</v>
      </c>
      <c r="G25" s="23" t="s">
        <v>41</v>
      </c>
      <c r="H25" s="23" t="s">
        <v>41</v>
      </c>
      <c r="I25" s="23" t="s">
        <v>50</v>
      </c>
      <c r="J25" s="23"/>
      <c r="K25" s="95" t="s">
        <v>72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3950000</v>
      </c>
      <c r="Z25" s="918"/>
      <c r="AA25" s="948"/>
      <c r="AC25" s="336"/>
      <c r="AE25" s="48"/>
      <c r="AI25" s="1074"/>
      <c r="AJ25" s="1074"/>
      <c r="AK25" s="1074"/>
    </row>
    <row r="26" spans="1:40" ht="18.399999999999999" customHeight="1" x14ac:dyDescent="0.3">
      <c r="A26" s="271" t="s">
        <v>323</v>
      </c>
      <c r="B26" s="25" t="s">
        <v>323</v>
      </c>
      <c r="C26" s="25" t="s">
        <v>277</v>
      </c>
      <c r="D26" s="25" t="s">
        <v>50</v>
      </c>
      <c r="E26" s="25" t="s">
        <v>98</v>
      </c>
      <c r="F26" s="25" t="s">
        <v>40</v>
      </c>
      <c r="G26" s="25" t="s">
        <v>41</v>
      </c>
      <c r="H26" s="25" t="s">
        <v>41</v>
      </c>
      <c r="I26" s="25" t="s">
        <v>50</v>
      </c>
      <c r="J26" s="25" t="s">
        <v>44</v>
      </c>
      <c r="K26" s="80" t="s">
        <v>73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SUM(Y27:AA34)</f>
        <v>3950000</v>
      </c>
      <c r="Z26" s="871"/>
      <c r="AA26" s="930"/>
      <c r="AB26" s="138"/>
      <c r="AC26" s="164">
        <f t="shared" ref="AC26:AH26" si="0">SUM(AC27:AC34)</f>
        <v>898000</v>
      </c>
      <c r="AD26" s="164">
        <f t="shared" si="0"/>
        <v>984000</v>
      </c>
      <c r="AE26" s="48">
        <f t="shared" si="0"/>
        <v>938000</v>
      </c>
      <c r="AF26" s="48">
        <f t="shared" si="0"/>
        <v>930000</v>
      </c>
      <c r="AG26" s="48">
        <f t="shared" si="0"/>
        <v>200000</v>
      </c>
      <c r="AH26" s="48">
        <f t="shared" si="0"/>
        <v>3950000</v>
      </c>
      <c r="AI26" s="1074"/>
      <c r="AJ26" s="1074"/>
      <c r="AK26" s="1074"/>
      <c r="AM26" s="48"/>
    </row>
    <row r="27" spans="1:40" x14ac:dyDescent="0.3">
      <c r="A27" s="298"/>
      <c r="B27" s="7"/>
      <c r="C27" s="7"/>
      <c r="D27" s="7"/>
      <c r="E27" s="7"/>
      <c r="F27" s="25"/>
      <c r="G27" s="25"/>
      <c r="H27" s="25"/>
      <c r="I27" s="25"/>
      <c r="J27" s="25"/>
      <c r="K27" s="73" t="s">
        <v>359</v>
      </c>
      <c r="L27" s="60"/>
      <c r="M27" s="57"/>
      <c r="N27" s="57"/>
      <c r="O27" s="57"/>
      <c r="P27" s="60"/>
      <c r="Q27" s="57"/>
      <c r="R27" s="983">
        <v>60</v>
      </c>
      <c r="S27" s="984"/>
      <c r="T27" s="983" t="s">
        <v>119</v>
      </c>
      <c r="U27" s="984"/>
      <c r="V27" s="979">
        <v>40000</v>
      </c>
      <c r="W27" s="980"/>
      <c r="X27" s="981"/>
      <c r="Y27" s="832">
        <f t="shared" ref="Y27:Y34" si="1">V27*R27</f>
        <v>2400000</v>
      </c>
      <c r="Z27" s="833"/>
      <c r="AA27" s="966"/>
      <c r="AB27" s="138"/>
      <c r="AC27" s="165">
        <f>V27*10</f>
        <v>400000</v>
      </c>
      <c r="AD27" s="41">
        <f>V27*20</f>
        <v>800000</v>
      </c>
      <c r="AE27" s="41">
        <f>V27*10</f>
        <v>400000</v>
      </c>
      <c r="AF27" s="41">
        <f>V27*15</f>
        <v>600000</v>
      </c>
      <c r="AG27" s="41">
        <f>V27*5</f>
        <v>200000</v>
      </c>
      <c r="AH27" s="41">
        <f>SUM(AC27:AG27)</f>
        <v>2400000</v>
      </c>
      <c r="AI27" s="1074"/>
      <c r="AJ27" s="1074"/>
      <c r="AK27" s="1074"/>
      <c r="AL27" s="48"/>
      <c r="AM27" s="48"/>
      <c r="AN27" s="48"/>
    </row>
    <row r="28" spans="1:40" x14ac:dyDescent="0.3">
      <c r="A28" s="298"/>
      <c r="B28" s="7"/>
      <c r="C28" s="7"/>
      <c r="D28" s="7"/>
      <c r="E28" s="7"/>
      <c r="F28" s="25"/>
      <c r="G28" s="25"/>
      <c r="H28" s="25"/>
      <c r="I28" s="25"/>
      <c r="J28" s="25"/>
      <c r="K28" s="73" t="s">
        <v>360</v>
      </c>
      <c r="L28" s="60"/>
      <c r="M28" s="57"/>
      <c r="N28" s="57"/>
      <c r="O28" s="57"/>
      <c r="P28" s="60"/>
      <c r="Q28" s="57"/>
      <c r="R28" s="983">
        <v>35</v>
      </c>
      <c r="S28" s="984"/>
      <c r="T28" s="983" t="s">
        <v>119</v>
      </c>
      <c r="U28" s="984"/>
      <c r="V28" s="979">
        <v>26000</v>
      </c>
      <c r="W28" s="980"/>
      <c r="X28" s="981"/>
      <c r="Y28" s="832">
        <f t="shared" si="1"/>
        <v>910000</v>
      </c>
      <c r="Z28" s="833"/>
      <c r="AA28" s="966"/>
      <c r="AB28" s="138"/>
      <c r="AC28" s="165">
        <f>V28*10</f>
        <v>260000</v>
      </c>
      <c r="AD28" s="41">
        <v>0</v>
      </c>
      <c r="AE28" s="41">
        <f>V28*15</f>
        <v>390000</v>
      </c>
      <c r="AF28" s="41">
        <f>V28*10</f>
        <v>260000</v>
      </c>
      <c r="AG28" s="41">
        <f>W28*10</f>
        <v>0</v>
      </c>
      <c r="AH28" s="41">
        <f t="shared" ref="AH28:AH38" si="2">SUM(AC28:AG28)</f>
        <v>910000</v>
      </c>
      <c r="AI28" s="655"/>
      <c r="AJ28" s="655"/>
      <c r="AK28" s="655"/>
      <c r="AL28" s="48"/>
      <c r="AM28" s="48"/>
      <c r="AN28" s="48"/>
    </row>
    <row r="29" spans="1:40" ht="18.399999999999999" customHeight="1" x14ac:dyDescent="0.3">
      <c r="A29" s="298"/>
      <c r="B29" s="7"/>
      <c r="C29" s="7"/>
      <c r="D29" s="7"/>
      <c r="E29" s="7"/>
      <c r="F29" s="25"/>
      <c r="G29" s="25"/>
      <c r="H29" s="25"/>
      <c r="I29" s="25"/>
      <c r="J29" s="25"/>
      <c r="K29" s="73" t="s">
        <v>275</v>
      </c>
      <c r="L29" s="60"/>
      <c r="M29" s="57"/>
      <c r="N29" s="57"/>
      <c r="O29" s="57"/>
      <c r="P29" s="60"/>
      <c r="Q29" s="57"/>
      <c r="R29" s="983">
        <v>6</v>
      </c>
      <c r="S29" s="984"/>
      <c r="T29" s="983" t="s">
        <v>119</v>
      </c>
      <c r="U29" s="984"/>
      <c r="V29" s="979">
        <v>70000</v>
      </c>
      <c r="W29" s="980"/>
      <c r="X29" s="981"/>
      <c r="Y29" s="832">
        <f t="shared" si="1"/>
        <v>420000</v>
      </c>
      <c r="Z29" s="833"/>
      <c r="AA29" s="966"/>
      <c r="AB29" s="138"/>
      <c r="AC29" s="165">
        <f>V29*2</f>
        <v>140000</v>
      </c>
      <c r="AD29" s="41">
        <f>V29*2</f>
        <v>140000</v>
      </c>
      <c r="AE29" s="41">
        <f>V29*1</f>
        <v>70000</v>
      </c>
      <c r="AF29" s="41">
        <f>V29*1</f>
        <v>70000</v>
      </c>
      <c r="AG29" s="41">
        <f>W29*1</f>
        <v>0</v>
      </c>
      <c r="AH29" s="41">
        <f t="shared" si="2"/>
        <v>420000</v>
      </c>
      <c r="AI29" s="1005"/>
      <c r="AJ29" s="1005"/>
      <c r="AK29" s="1073"/>
      <c r="AL29" s="48"/>
      <c r="AM29" s="48"/>
      <c r="AN29" s="48"/>
    </row>
    <row r="30" spans="1:40" ht="18.399999999999999" customHeight="1" x14ac:dyDescent="0.3">
      <c r="A30" s="298"/>
      <c r="B30" s="7"/>
      <c r="C30" s="7"/>
      <c r="D30" s="7"/>
      <c r="E30" s="7"/>
      <c r="F30" s="25"/>
      <c r="G30" s="25"/>
      <c r="H30" s="25"/>
      <c r="I30" s="25"/>
      <c r="J30" s="25"/>
      <c r="K30" s="73" t="s">
        <v>420</v>
      </c>
      <c r="L30" s="60"/>
      <c r="M30" s="57"/>
      <c r="N30" s="57"/>
      <c r="O30" s="57"/>
      <c r="P30" s="60"/>
      <c r="Q30" s="57"/>
      <c r="R30" s="983">
        <v>2</v>
      </c>
      <c r="S30" s="984"/>
      <c r="T30" s="983" t="s">
        <v>46</v>
      </c>
      <c r="U30" s="984"/>
      <c r="V30" s="979">
        <v>23000</v>
      </c>
      <c r="W30" s="980"/>
      <c r="X30" s="981"/>
      <c r="Y30" s="832">
        <f t="shared" si="1"/>
        <v>46000</v>
      </c>
      <c r="Z30" s="833"/>
      <c r="AA30" s="966"/>
      <c r="AB30" s="138"/>
      <c r="AC30" s="165">
        <f>V30*1</f>
        <v>23000</v>
      </c>
      <c r="AD30" s="41">
        <v>0</v>
      </c>
      <c r="AE30" s="41">
        <v>23000</v>
      </c>
      <c r="AF30" s="41"/>
      <c r="AG30" s="41"/>
      <c r="AH30" s="41">
        <f t="shared" si="2"/>
        <v>46000</v>
      </c>
      <c r="AI30" s="659"/>
      <c r="AJ30" s="659"/>
      <c r="AK30" s="659"/>
      <c r="AL30" s="48"/>
      <c r="AM30" s="48"/>
      <c r="AN30" s="48"/>
    </row>
    <row r="31" spans="1:40" ht="18.399999999999999" customHeight="1" x14ac:dyDescent="0.3">
      <c r="A31" s="298"/>
      <c r="B31" s="7"/>
      <c r="C31" s="7"/>
      <c r="D31" s="7"/>
      <c r="E31" s="7"/>
      <c r="F31" s="25"/>
      <c r="G31" s="25"/>
      <c r="H31" s="25"/>
      <c r="I31" s="25"/>
      <c r="J31" s="25"/>
      <c r="K31" s="73" t="s">
        <v>418</v>
      </c>
      <c r="L31" s="60"/>
      <c r="M31" s="57"/>
      <c r="N31" s="57"/>
      <c r="O31" s="57"/>
      <c r="P31" s="60"/>
      <c r="Q31" s="57"/>
      <c r="R31" s="983">
        <v>1</v>
      </c>
      <c r="S31" s="984"/>
      <c r="T31" s="983" t="s">
        <v>119</v>
      </c>
      <c r="U31" s="984"/>
      <c r="V31" s="979">
        <v>55000</v>
      </c>
      <c r="W31" s="980"/>
      <c r="X31" s="981"/>
      <c r="Y31" s="832">
        <f t="shared" si="1"/>
        <v>55000</v>
      </c>
      <c r="Z31" s="833"/>
      <c r="AA31" s="966"/>
      <c r="AB31" s="138"/>
      <c r="AC31" s="165"/>
      <c r="AD31" s="41">
        <v>0</v>
      </c>
      <c r="AE31" s="41">
        <v>55000</v>
      </c>
      <c r="AF31" s="41"/>
      <c r="AG31" s="41">
        <v>0</v>
      </c>
      <c r="AH31" s="41">
        <f t="shared" si="2"/>
        <v>55000</v>
      </c>
      <c r="AI31" s="659"/>
      <c r="AJ31" s="659"/>
      <c r="AK31" s="659"/>
      <c r="AL31" s="48"/>
      <c r="AM31" s="48"/>
      <c r="AN31" s="48"/>
    </row>
    <row r="32" spans="1:40" ht="18.399999999999999" customHeight="1" x14ac:dyDescent="0.3">
      <c r="A32" s="298"/>
      <c r="B32" s="7"/>
      <c r="C32" s="7"/>
      <c r="D32" s="7"/>
      <c r="E32" s="7"/>
      <c r="F32" s="25"/>
      <c r="G32" s="25"/>
      <c r="H32" s="25"/>
      <c r="I32" s="25"/>
      <c r="J32" s="25"/>
      <c r="K32" s="73" t="s">
        <v>358</v>
      </c>
      <c r="L32" s="60"/>
      <c r="M32" s="57"/>
      <c r="N32" s="57"/>
      <c r="O32" s="57"/>
      <c r="P32" s="60"/>
      <c r="Q32" s="57"/>
      <c r="R32" s="983">
        <v>2</v>
      </c>
      <c r="S32" s="984"/>
      <c r="T32" s="983" t="s">
        <v>311</v>
      </c>
      <c r="U32" s="984"/>
      <c r="V32" s="979">
        <v>28000</v>
      </c>
      <c r="W32" s="980"/>
      <c r="X32" s="981"/>
      <c r="Y32" s="832">
        <f t="shared" si="1"/>
        <v>56000</v>
      </c>
      <c r="Z32" s="833"/>
      <c r="AA32" s="966"/>
      <c r="AB32" s="138"/>
      <c r="AC32" s="165">
        <f>V32</f>
        <v>28000</v>
      </c>
      <c r="AD32" s="41">
        <f t="shared" ref="AD32" si="3">V32*1</f>
        <v>28000</v>
      </c>
      <c r="AE32" s="41">
        <v>0</v>
      </c>
      <c r="AF32" s="41"/>
      <c r="AG32" s="41"/>
      <c r="AH32" s="41">
        <f t="shared" si="2"/>
        <v>56000</v>
      </c>
      <c r="AI32" s="659"/>
      <c r="AJ32" s="659"/>
      <c r="AK32" s="659"/>
      <c r="AL32" s="48"/>
      <c r="AM32" s="48"/>
      <c r="AN32" s="48"/>
    </row>
    <row r="33" spans="1:40" ht="18.399999999999999" customHeight="1" x14ac:dyDescent="0.3">
      <c r="A33" s="298"/>
      <c r="B33" s="7"/>
      <c r="C33" s="7"/>
      <c r="D33" s="7"/>
      <c r="E33" s="7"/>
      <c r="F33" s="25"/>
      <c r="G33" s="25"/>
      <c r="H33" s="25"/>
      <c r="I33" s="25"/>
      <c r="J33" s="25"/>
      <c r="K33" s="146" t="s">
        <v>120</v>
      </c>
      <c r="L33" s="147"/>
      <c r="M33" s="159"/>
      <c r="N33" s="159"/>
      <c r="O33" s="159"/>
      <c r="P33" s="147"/>
      <c r="Q33" s="159"/>
      <c r="R33" s="983">
        <v>1</v>
      </c>
      <c r="S33" s="984"/>
      <c r="T33" s="983" t="s">
        <v>46</v>
      </c>
      <c r="U33" s="984"/>
      <c r="V33" s="979">
        <v>31000</v>
      </c>
      <c r="W33" s="980"/>
      <c r="X33" s="981"/>
      <c r="Y33" s="832">
        <f t="shared" si="1"/>
        <v>31000</v>
      </c>
      <c r="Z33" s="833"/>
      <c r="AA33" s="966"/>
      <c r="AB33" s="199"/>
      <c r="AC33" s="165">
        <f>V33*1</f>
        <v>31000</v>
      </c>
      <c r="AD33" s="41">
        <v>0</v>
      </c>
      <c r="AE33" s="41">
        <v>0</v>
      </c>
      <c r="AF33" s="41"/>
      <c r="AG33" s="41"/>
      <c r="AH33" s="41">
        <f t="shared" si="2"/>
        <v>31000</v>
      </c>
      <c r="AI33" s="1074"/>
      <c r="AJ33" s="1074"/>
      <c r="AK33" s="1074"/>
      <c r="AL33" s="48"/>
      <c r="AM33" s="48"/>
      <c r="AN33" s="48"/>
    </row>
    <row r="34" spans="1:40" ht="18.399999999999999" customHeight="1" x14ac:dyDescent="0.3">
      <c r="A34" s="298"/>
      <c r="B34" s="7"/>
      <c r="C34" s="7"/>
      <c r="D34" s="7"/>
      <c r="E34" s="7"/>
      <c r="F34" s="25"/>
      <c r="G34" s="25"/>
      <c r="H34" s="25"/>
      <c r="I34" s="25"/>
      <c r="J34" s="25"/>
      <c r="K34" s="146" t="s">
        <v>210</v>
      </c>
      <c r="L34" s="147"/>
      <c r="M34" s="159"/>
      <c r="N34" s="159"/>
      <c r="O34" s="159"/>
      <c r="P34" s="147"/>
      <c r="Q34" s="159"/>
      <c r="R34" s="983">
        <v>2</v>
      </c>
      <c r="S34" s="984"/>
      <c r="T34" s="983" t="s">
        <v>46</v>
      </c>
      <c r="U34" s="984"/>
      <c r="V34" s="997">
        <v>16000</v>
      </c>
      <c r="W34" s="998"/>
      <c r="X34" s="999"/>
      <c r="Y34" s="832">
        <f t="shared" si="1"/>
        <v>32000</v>
      </c>
      <c r="Z34" s="833"/>
      <c r="AA34" s="966"/>
      <c r="AB34" s="138"/>
      <c r="AC34" s="165">
        <f>V34*1</f>
        <v>16000</v>
      </c>
      <c r="AD34" s="41">
        <v>16000</v>
      </c>
      <c r="AE34" s="41">
        <v>0</v>
      </c>
      <c r="AF34" s="41"/>
      <c r="AG34" s="41"/>
      <c r="AH34" s="41">
        <f t="shared" si="2"/>
        <v>32000</v>
      </c>
      <c r="AI34" s="1074">
        <f>SUM(AE27:AE33)</f>
        <v>938000</v>
      </c>
      <c r="AJ34" s="1074"/>
      <c r="AK34" s="1074"/>
      <c r="AL34" s="48"/>
      <c r="AM34" s="48"/>
      <c r="AN34" s="48"/>
    </row>
    <row r="35" spans="1:40" ht="18.399999999999999" customHeight="1" x14ac:dyDescent="0.3">
      <c r="A35" s="270" t="s">
        <v>323</v>
      </c>
      <c r="B35" s="23" t="s">
        <v>323</v>
      </c>
      <c r="C35" s="23" t="s">
        <v>277</v>
      </c>
      <c r="D35" s="23" t="s">
        <v>50</v>
      </c>
      <c r="E35" s="23" t="s">
        <v>98</v>
      </c>
      <c r="F35" s="23" t="s">
        <v>40</v>
      </c>
      <c r="G35" s="23" t="s">
        <v>41</v>
      </c>
      <c r="H35" s="23" t="s">
        <v>41</v>
      </c>
      <c r="I35" s="23" t="s">
        <v>42</v>
      </c>
      <c r="J35" s="23"/>
      <c r="K35" s="95" t="s">
        <v>37</v>
      </c>
      <c r="L35" s="60"/>
      <c r="M35" s="57"/>
      <c r="N35" s="57"/>
      <c r="O35" s="57"/>
      <c r="P35" s="60"/>
      <c r="Q35" s="57"/>
      <c r="R35" s="1131"/>
      <c r="S35" s="1132"/>
      <c r="T35" s="1131"/>
      <c r="U35" s="1132"/>
      <c r="V35" s="1133"/>
      <c r="W35" s="1134"/>
      <c r="X35" s="1135"/>
      <c r="Y35" s="917">
        <f>Y36</f>
        <v>1050000</v>
      </c>
      <c r="Z35" s="918"/>
      <c r="AA35" s="948"/>
      <c r="AC35" s="165"/>
      <c r="AD35" s="165"/>
      <c r="AE35" s="165"/>
      <c r="AF35" s="41"/>
      <c r="AG35" s="41"/>
      <c r="AH35" s="41">
        <f t="shared" si="2"/>
        <v>0</v>
      </c>
      <c r="AI35" s="1074"/>
      <c r="AJ35" s="1074"/>
      <c r="AK35" s="1074"/>
      <c r="AL35" s="48"/>
      <c r="AM35" s="48"/>
      <c r="AN35" s="48"/>
    </row>
    <row r="36" spans="1:40" ht="18.399999999999999" customHeight="1" x14ac:dyDescent="0.3">
      <c r="A36" s="271" t="s">
        <v>323</v>
      </c>
      <c r="B36" s="25" t="s">
        <v>323</v>
      </c>
      <c r="C36" s="25" t="s">
        <v>277</v>
      </c>
      <c r="D36" s="25" t="s">
        <v>50</v>
      </c>
      <c r="E36" s="25" t="s">
        <v>98</v>
      </c>
      <c r="F36" s="25" t="s">
        <v>40</v>
      </c>
      <c r="G36" s="25" t="s">
        <v>41</v>
      </c>
      <c r="H36" s="25" t="s">
        <v>41</v>
      </c>
      <c r="I36" s="25" t="s">
        <v>42</v>
      </c>
      <c r="J36" s="25" t="s">
        <v>74</v>
      </c>
      <c r="K36" s="80" t="s">
        <v>251</v>
      </c>
      <c r="L36" s="60"/>
      <c r="M36" s="57"/>
      <c r="N36" s="57"/>
      <c r="O36" s="57"/>
      <c r="P36" s="60"/>
      <c r="Q36" s="57"/>
      <c r="R36" s="1159"/>
      <c r="S36" s="1160"/>
      <c r="T36" s="1131"/>
      <c r="U36" s="1132"/>
      <c r="V36" s="1133"/>
      <c r="W36" s="1134"/>
      <c r="X36" s="1135"/>
      <c r="Y36" s="870">
        <f>Y38</f>
        <v>1050000</v>
      </c>
      <c r="Z36" s="871"/>
      <c r="AA36" s="930"/>
      <c r="AC36" s="165"/>
      <c r="AD36" s="41"/>
      <c r="AE36" s="41"/>
      <c r="AF36" s="165"/>
      <c r="AG36" s="165"/>
      <c r="AH36" s="41">
        <f t="shared" si="2"/>
        <v>0</v>
      </c>
      <c r="AI36" s="1074"/>
      <c r="AJ36" s="1074"/>
      <c r="AK36" s="1074"/>
      <c r="AL36" s="48"/>
      <c r="AM36" s="48"/>
      <c r="AN36" s="48"/>
    </row>
    <row r="37" spans="1:40" ht="18.399999999999999" customHeight="1" x14ac:dyDescent="0.3">
      <c r="A37" s="271"/>
      <c r="B37" s="25"/>
      <c r="C37" s="25"/>
      <c r="D37" s="25"/>
      <c r="E37" s="25"/>
      <c r="F37" s="25"/>
      <c r="G37" s="69"/>
      <c r="H37" s="69"/>
      <c r="I37" s="69"/>
      <c r="J37" s="69"/>
      <c r="K37" s="125" t="s">
        <v>252</v>
      </c>
      <c r="L37" s="70"/>
      <c r="M37" s="126"/>
      <c r="N37" s="126"/>
      <c r="O37" s="126"/>
      <c r="P37" s="70"/>
      <c r="Q37" s="126"/>
      <c r="R37" s="127"/>
      <c r="S37" s="128"/>
      <c r="T37" s="700"/>
      <c r="U37" s="701"/>
      <c r="V37" s="702"/>
      <c r="W37" s="703"/>
      <c r="X37" s="704"/>
      <c r="Y37" s="686"/>
      <c r="Z37" s="687"/>
      <c r="AA37" s="650"/>
      <c r="AC37" s="165"/>
      <c r="AD37" s="165"/>
      <c r="AE37" s="165"/>
      <c r="AF37" s="165"/>
      <c r="AG37" s="165"/>
      <c r="AH37" s="41">
        <f t="shared" si="2"/>
        <v>0</v>
      </c>
      <c r="AI37" s="655"/>
      <c r="AJ37" s="655"/>
      <c r="AK37" s="655"/>
      <c r="AL37" s="48"/>
      <c r="AM37" s="48"/>
      <c r="AN37" s="48"/>
    </row>
    <row r="38" spans="1:40" ht="18.399999999999999" customHeight="1" x14ac:dyDescent="0.3">
      <c r="A38" s="299"/>
      <c r="B38" s="8"/>
      <c r="C38" s="8"/>
      <c r="D38" s="8"/>
      <c r="E38" s="8"/>
      <c r="F38" s="8"/>
      <c r="G38" s="8"/>
      <c r="H38" s="8"/>
      <c r="I38" s="8"/>
      <c r="J38" s="8"/>
      <c r="K38" s="96" t="s">
        <v>421</v>
      </c>
      <c r="L38" s="93"/>
      <c r="M38" s="94"/>
      <c r="N38" s="94"/>
      <c r="O38" s="94"/>
      <c r="P38" s="93"/>
      <c r="Q38" s="94"/>
      <c r="R38" s="1136">
        <v>14</v>
      </c>
      <c r="S38" s="1137"/>
      <c r="T38" s="1129" t="s">
        <v>334</v>
      </c>
      <c r="U38" s="1130"/>
      <c r="V38" s="1126">
        <v>75000</v>
      </c>
      <c r="W38" s="1127"/>
      <c r="X38" s="1128"/>
      <c r="Y38" s="1156">
        <f>V38*R38</f>
        <v>1050000</v>
      </c>
      <c r="Z38" s="1157"/>
      <c r="AA38" s="1158"/>
      <c r="AC38" s="41">
        <f>V38*2*2</f>
        <v>300000</v>
      </c>
      <c r="AD38" s="165">
        <f>U38*2*5</f>
        <v>0</v>
      </c>
      <c r="AE38" s="165">
        <f>V38*2*5</f>
        <v>750000</v>
      </c>
      <c r="AF38" s="41"/>
      <c r="AG38" s="41"/>
      <c r="AH38" s="41">
        <f t="shared" si="2"/>
        <v>1050000</v>
      </c>
      <c r="AI38" s="655"/>
      <c r="AJ38" s="655"/>
      <c r="AK38" s="655"/>
      <c r="AL38" s="48"/>
      <c r="AM38" s="48"/>
      <c r="AN38" s="48"/>
    </row>
    <row r="39" spans="1:40" ht="16.5" customHeight="1" x14ac:dyDescent="0.2">
      <c r="A39" s="276"/>
      <c r="B39" s="42"/>
      <c r="C39" s="42"/>
      <c r="D39" s="42"/>
      <c r="E39" s="42"/>
      <c r="F39" s="42"/>
      <c r="G39" s="42"/>
      <c r="H39" s="42"/>
      <c r="I39" s="42"/>
      <c r="J39" s="42"/>
      <c r="K39" s="49"/>
      <c r="L39" s="49"/>
      <c r="M39" s="49"/>
      <c r="N39" s="49"/>
      <c r="O39" s="49"/>
      <c r="P39" s="49"/>
      <c r="Q39" s="49"/>
      <c r="R39" s="1120"/>
      <c r="S39" s="1120"/>
      <c r="T39" s="1119"/>
      <c r="U39" s="1119"/>
      <c r="V39" s="1112" t="s">
        <v>28</v>
      </c>
      <c r="W39" s="1112"/>
      <c r="X39" s="1113"/>
      <c r="Y39" s="1122">
        <f>Y35+Y25</f>
        <v>5000000</v>
      </c>
      <c r="Z39" s="1123"/>
      <c r="AA39" s="1124"/>
      <c r="AC39" s="165"/>
      <c r="AD39" s="41"/>
      <c r="AE39" s="41"/>
      <c r="AF39" s="41"/>
      <c r="AG39" s="41"/>
      <c r="AH39" s="41"/>
      <c r="AI39" s="655"/>
      <c r="AJ39" s="655"/>
      <c r="AK39" s="655"/>
      <c r="AL39" s="45"/>
      <c r="AM39" s="45"/>
      <c r="AN39" s="45"/>
    </row>
    <row r="40" spans="1:40" ht="18.399999999999999" customHeight="1" x14ac:dyDescent="0.2">
      <c r="A40" s="277"/>
      <c r="B40" s="16" t="s">
        <v>306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67"/>
      <c r="AC40" s="166">
        <f t="shared" ref="AC40:AH40" si="4">SUM(AC27:AC39)</f>
        <v>1198000</v>
      </c>
      <c r="AD40" s="166">
        <f t="shared" si="4"/>
        <v>984000</v>
      </c>
      <c r="AE40" s="166">
        <f t="shared" si="4"/>
        <v>1688000</v>
      </c>
      <c r="AF40" s="166">
        <f t="shared" si="4"/>
        <v>930000</v>
      </c>
      <c r="AG40" s="166">
        <f t="shared" si="4"/>
        <v>200000</v>
      </c>
      <c r="AH40" s="166">
        <f t="shared" si="4"/>
        <v>5000000</v>
      </c>
      <c r="AI40" s="1005"/>
      <c r="AJ40" s="1005"/>
      <c r="AK40" s="1073"/>
      <c r="AL40" s="48"/>
      <c r="AM40" s="48"/>
      <c r="AN40" s="48"/>
    </row>
    <row r="41" spans="1:40" ht="17.25" customHeight="1" x14ac:dyDescent="0.2">
      <c r="A41" s="278"/>
      <c r="B41" s="13" t="s">
        <v>29</v>
      </c>
      <c r="C41" s="27"/>
      <c r="D41" s="13"/>
      <c r="E41" s="13"/>
      <c r="F41" s="40" t="s">
        <v>89</v>
      </c>
      <c r="G41" s="878">
        <f>AC40</f>
        <v>1198000</v>
      </c>
      <c r="H41" s="878"/>
      <c r="I41" s="878"/>
      <c r="J41" s="878"/>
      <c r="K41" s="13"/>
      <c r="L41" s="13"/>
      <c r="M41" s="13"/>
      <c r="N41" s="13"/>
      <c r="O41" s="28"/>
      <c r="P41" s="28"/>
      <c r="Q41" s="28"/>
      <c r="R41" s="28"/>
      <c r="S41" s="28"/>
      <c r="T41" s="28"/>
      <c r="U41" s="679" t="str">
        <f>rumdin!U40</f>
        <v>CAMAT SUKOHARJO</v>
      </c>
      <c r="V41" s="13"/>
      <c r="W41" s="679"/>
      <c r="X41" s="13"/>
      <c r="Y41" s="13"/>
      <c r="Z41" s="13"/>
      <c r="AA41" s="279"/>
      <c r="AC41" s="169"/>
      <c r="AD41" s="169"/>
      <c r="AE41" s="169"/>
      <c r="AF41" s="169"/>
      <c r="AG41" s="169"/>
      <c r="AH41" s="45"/>
      <c r="AI41" s="169"/>
      <c r="AJ41" s="169"/>
      <c r="AK41" s="169"/>
    </row>
    <row r="42" spans="1:40" ht="15" customHeight="1" x14ac:dyDescent="0.2">
      <c r="A42" s="278"/>
      <c r="B42" s="13" t="s">
        <v>30</v>
      </c>
      <c r="C42" s="27"/>
      <c r="D42" s="13"/>
      <c r="E42" s="13"/>
      <c r="F42" s="40" t="s">
        <v>89</v>
      </c>
      <c r="G42" s="878">
        <f>AD40</f>
        <v>984000</v>
      </c>
      <c r="H42" s="878"/>
      <c r="I42" s="878"/>
      <c r="J42" s="878"/>
      <c r="K42" s="13"/>
      <c r="L42" s="13"/>
      <c r="M42" s="13"/>
      <c r="N42" s="13"/>
      <c r="O42" s="28"/>
      <c r="P42" s="28"/>
      <c r="Q42" s="28"/>
      <c r="R42" s="28"/>
      <c r="S42" s="28"/>
      <c r="T42" s="28"/>
      <c r="U42" s="679"/>
      <c r="V42" s="13"/>
      <c r="W42" s="679"/>
      <c r="X42" s="13"/>
      <c r="Y42" s="13"/>
      <c r="Z42" s="13"/>
      <c r="AA42" s="279"/>
      <c r="AC42" s="169"/>
      <c r="AD42" s="169"/>
      <c r="AE42" s="169"/>
      <c r="AF42" s="169"/>
      <c r="AG42" s="169"/>
      <c r="AH42" s="169"/>
      <c r="AI42" s="169"/>
      <c r="AJ42" s="169"/>
      <c r="AK42" s="169"/>
    </row>
    <row r="43" spans="1:40" ht="18.399999999999999" customHeight="1" x14ac:dyDescent="0.2">
      <c r="A43" s="278"/>
      <c r="B43" s="13" t="s">
        <v>31</v>
      </c>
      <c r="C43" s="27"/>
      <c r="D43" s="13"/>
      <c r="E43" s="13"/>
      <c r="F43" s="40" t="s">
        <v>89</v>
      </c>
      <c r="G43" s="878">
        <f>AE40</f>
        <v>1688000</v>
      </c>
      <c r="H43" s="878"/>
      <c r="I43" s="878"/>
      <c r="J43" s="878"/>
      <c r="K43" s="13"/>
      <c r="L43" s="13"/>
      <c r="M43" s="13"/>
      <c r="N43" s="13"/>
      <c r="O43" s="28"/>
      <c r="P43" s="28"/>
      <c r="Q43" s="28"/>
      <c r="R43" s="28"/>
      <c r="S43" s="28"/>
      <c r="T43" s="28"/>
      <c r="U43" s="679"/>
      <c r="V43" s="13"/>
      <c r="W43" s="679"/>
      <c r="X43" s="13"/>
      <c r="Y43" s="13"/>
      <c r="Z43" s="13"/>
      <c r="AA43" s="279"/>
    </row>
    <row r="44" spans="1:40" ht="18.399999999999999" customHeight="1" x14ac:dyDescent="0.2">
      <c r="A44" s="278"/>
      <c r="B44" s="13" t="s">
        <v>32</v>
      </c>
      <c r="C44" s="30"/>
      <c r="D44" s="29"/>
      <c r="E44" s="13"/>
      <c r="F44" s="40" t="s">
        <v>89</v>
      </c>
      <c r="G44" s="878">
        <f>AF40</f>
        <v>930000</v>
      </c>
      <c r="H44" s="878"/>
      <c r="I44" s="878"/>
      <c r="J44" s="878"/>
      <c r="K44" s="13"/>
      <c r="L44" s="13"/>
      <c r="M44" s="13"/>
      <c r="N44" s="13"/>
      <c r="O44" s="31"/>
      <c r="P44" s="31"/>
      <c r="Q44" s="31"/>
      <c r="R44" s="31"/>
      <c r="S44" s="31"/>
      <c r="T44" s="31"/>
      <c r="U44" s="679"/>
      <c r="V44" s="13"/>
      <c r="W44" s="52"/>
      <c r="X44" s="13"/>
      <c r="Y44" s="13"/>
      <c r="Z44" s="13"/>
      <c r="AA44" s="279"/>
    </row>
    <row r="45" spans="1:40" ht="18.399999999999999" customHeight="1" thickBot="1" x14ac:dyDescent="0.25">
      <c r="A45" s="278"/>
      <c r="B45" s="13"/>
      <c r="C45" s="13"/>
      <c r="D45" s="62" t="s">
        <v>28</v>
      </c>
      <c r="E45" s="13"/>
      <c r="F45" s="40" t="s">
        <v>89</v>
      </c>
      <c r="G45" s="877">
        <f>SUM(G41:J44)</f>
        <v>4800000</v>
      </c>
      <c r="H45" s="877"/>
      <c r="I45" s="877"/>
      <c r="J45" s="877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52" t="str">
        <f>rumdin!U44</f>
        <v>DUDI WARDOYO, AP, M.M</v>
      </c>
      <c r="V45" s="13"/>
      <c r="W45" s="679"/>
      <c r="X45" s="13"/>
      <c r="Y45" s="34"/>
      <c r="Z45" s="34"/>
      <c r="AA45" s="280"/>
      <c r="AJ45" s="164"/>
    </row>
    <row r="46" spans="1:40" ht="15.75" customHeight="1" thickTop="1" x14ac:dyDescent="0.2">
      <c r="A46" s="278"/>
      <c r="B46" s="13"/>
      <c r="C46" s="13"/>
      <c r="D46" s="62"/>
      <c r="E46" s="13"/>
      <c r="F46" s="40"/>
      <c r="G46" s="622"/>
      <c r="H46" s="622"/>
      <c r="I46" s="622"/>
      <c r="J46" s="62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79" t="str">
        <f>rumdin!U45</f>
        <v>Pembina Tk. I</v>
      </c>
      <c r="V46" s="13"/>
      <c r="W46" s="679"/>
      <c r="X46" s="13"/>
      <c r="Y46" s="34"/>
      <c r="Z46" s="34"/>
      <c r="AA46" s="280"/>
      <c r="AJ46" s="164"/>
    </row>
    <row r="47" spans="1:40" ht="12.75" customHeight="1" x14ac:dyDescent="0.2">
      <c r="A47" s="28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679" t="str">
        <f>rumdin!U46</f>
        <v>NIP. 19741009 199311 1 001</v>
      </c>
      <c r="V47" s="10"/>
      <c r="W47" s="679"/>
      <c r="X47" s="10"/>
      <c r="Y47" s="10"/>
      <c r="Z47" s="10"/>
      <c r="AA47" s="282"/>
    </row>
    <row r="48" spans="1:40" s="138" customFormat="1" ht="18.75" customHeight="1" x14ac:dyDescent="0.2">
      <c r="A48" s="865" t="s">
        <v>194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519"/>
      <c r="T48" s="520"/>
      <c r="U48" s="520"/>
      <c r="V48" s="520"/>
      <c r="W48" s="520"/>
      <c r="X48" s="520"/>
      <c r="Y48" s="520"/>
      <c r="Z48" s="520"/>
      <c r="AA48" s="521"/>
      <c r="AD48" s="136"/>
      <c r="AH48" s="136"/>
      <c r="AJ48" s="136"/>
      <c r="AM48" s="136"/>
    </row>
    <row r="49" spans="1:39" s="138" customFormat="1" ht="3.75" customHeight="1" x14ac:dyDescent="0.2">
      <c r="A49" s="382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516"/>
      <c r="T49" s="151"/>
      <c r="U49" s="151"/>
      <c r="V49" s="151"/>
      <c r="W49" s="151"/>
      <c r="X49" s="151"/>
      <c r="Y49" s="151"/>
      <c r="Z49" s="151"/>
      <c r="AA49" s="518"/>
      <c r="AD49" s="136"/>
      <c r="AH49" s="136"/>
      <c r="AJ49" s="136"/>
      <c r="AM49" s="136"/>
    </row>
    <row r="50" spans="1:39" ht="18" customHeight="1" x14ac:dyDescent="0.2">
      <c r="A50" s="27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2"/>
      <c r="T50" s="13"/>
      <c r="U50" s="13"/>
      <c r="V50" s="13"/>
      <c r="W50" s="679" t="str">
        <f>rumdin!W49</f>
        <v>Wonosobo,        Januari 2019</v>
      </c>
      <c r="X50" s="13"/>
      <c r="Y50" s="13"/>
      <c r="Z50" s="13"/>
      <c r="AA50" s="279"/>
    </row>
    <row r="51" spans="1:39" ht="9" hidden="1" customHeight="1" x14ac:dyDescent="0.2">
      <c r="A51" s="27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2"/>
      <c r="T51" s="13"/>
      <c r="U51" s="13"/>
      <c r="V51" s="13"/>
      <c r="W51" s="679"/>
      <c r="X51" s="13"/>
      <c r="Y51" s="13"/>
      <c r="Z51" s="13"/>
      <c r="AA51" s="279"/>
    </row>
    <row r="52" spans="1:39" ht="16.5" customHeight="1" x14ac:dyDescent="0.2">
      <c r="A52" s="283"/>
      <c r="B52" s="26" t="s">
        <v>34</v>
      </c>
      <c r="C52" s="13" t="str">
        <f>rumdin!C51</f>
        <v>RIDWAN SETIA N, S.Kom</v>
      </c>
      <c r="D52" s="13"/>
      <c r="E52" s="13"/>
      <c r="F52" s="44"/>
      <c r="G52" s="13"/>
      <c r="H52" s="13"/>
      <c r="K52" s="64" t="s">
        <v>34</v>
      </c>
      <c r="L52" s="47" t="s">
        <v>196</v>
      </c>
      <c r="M52" s="47"/>
      <c r="N52" s="47"/>
      <c r="O52" s="13"/>
      <c r="P52" s="13"/>
      <c r="Q52" s="13"/>
      <c r="R52" s="47"/>
      <c r="S52" s="522"/>
      <c r="T52" s="47"/>
      <c r="U52" s="13"/>
      <c r="V52" s="13"/>
      <c r="W52" s="679" t="s">
        <v>33</v>
      </c>
      <c r="X52" s="13"/>
      <c r="Y52" s="13"/>
      <c r="Z52" s="13"/>
      <c r="AA52" s="279"/>
    </row>
    <row r="53" spans="1:39" ht="15.75" customHeight="1" x14ac:dyDescent="0.2">
      <c r="A53" s="283"/>
      <c r="B53" s="26"/>
      <c r="C53" s="13"/>
      <c r="D53" s="13"/>
      <c r="E53" s="13"/>
      <c r="F53" s="44"/>
      <c r="G53" s="13"/>
      <c r="H53" s="13"/>
      <c r="K53" s="13"/>
      <c r="L53" s="13"/>
      <c r="M53" s="13"/>
      <c r="N53" s="13"/>
      <c r="O53" s="13"/>
      <c r="P53" s="13"/>
      <c r="Q53" s="13"/>
      <c r="R53" s="13"/>
      <c r="S53" s="12"/>
      <c r="T53" s="13"/>
      <c r="U53" s="13"/>
      <c r="V53" s="13"/>
      <c r="W53" s="679" t="s">
        <v>85</v>
      </c>
      <c r="X53" s="13"/>
      <c r="Y53" s="13"/>
      <c r="Z53" s="13"/>
      <c r="AA53" s="279"/>
      <c r="AB53" s="33"/>
      <c r="AC53" s="33"/>
      <c r="AD53" s="33"/>
      <c r="AE53" s="33"/>
      <c r="AF53" s="33"/>
      <c r="AG53" s="740"/>
      <c r="AH53" s="33"/>
    </row>
    <row r="54" spans="1:39" ht="16.5" customHeight="1" x14ac:dyDescent="0.2">
      <c r="A54" s="283"/>
      <c r="D54" s="13"/>
      <c r="E54" s="13"/>
      <c r="F54" s="44"/>
      <c r="G54" s="13"/>
      <c r="H54" s="13"/>
      <c r="K54" s="47"/>
      <c r="L54" s="47"/>
      <c r="O54" s="13"/>
      <c r="P54" s="13"/>
      <c r="Q54" s="13"/>
      <c r="R54" s="47"/>
      <c r="S54" s="522"/>
      <c r="T54" s="47"/>
      <c r="U54" s="13"/>
      <c r="V54" s="13"/>
      <c r="W54" s="65"/>
      <c r="X54" s="13"/>
      <c r="Y54" s="13"/>
      <c r="Z54" s="13"/>
      <c r="AA54" s="279"/>
      <c r="AB54" s="33"/>
      <c r="AC54" s="33"/>
      <c r="AD54" s="33"/>
      <c r="AE54" s="33"/>
      <c r="AF54" s="33"/>
      <c r="AG54" s="740"/>
      <c r="AH54" s="33"/>
    </row>
    <row r="55" spans="1:39" ht="13.5" customHeight="1" x14ac:dyDescent="0.2">
      <c r="A55" s="278"/>
      <c r="B55" s="26" t="s">
        <v>35</v>
      </c>
      <c r="C55" s="13" t="str">
        <f>rumdin!C54</f>
        <v>SABAR KHOIRI</v>
      </c>
      <c r="D55" s="44"/>
      <c r="E55" s="44"/>
      <c r="F55" s="13"/>
      <c r="G55" s="13"/>
      <c r="H55" s="13"/>
      <c r="K55" s="64" t="s">
        <v>35</v>
      </c>
      <c r="L55" s="47" t="s">
        <v>196</v>
      </c>
      <c r="M55" s="44"/>
      <c r="N55" s="44"/>
      <c r="O55" s="13"/>
      <c r="P55" s="13"/>
      <c r="Q55" s="13"/>
      <c r="R55" s="44"/>
      <c r="S55" s="46"/>
      <c r="T55" s="44"/>
      <c r="U55" s="44"/>
      <c r="V55" s="44"/>
      <c r="W55" s="679"/>
      <c r="X55" s="44"/>
      <c r="Y55" s="44"/>
      <c r="Z55" s="44"/>
      <c r="AA55" s="284"/>
      <c r="AB55" s="33"/>
      <c r="AC55" s="33"/>
      <c r="AD55" s="33"/>
      <c r="AE55" s="33"/>
      <c r="AF55" s="33"/>
      <c r="AG55" s="740"/>
      <c r="AH55" s="33"/>
    </row>
    <row r="56" spans="1:39" s="33" customFormat="1" ht="18.75" customHeight="1" x14ac:dyDescent="0.2">
      <c r="A56" s="285"/>
      <c r="B56" s="26"/>
      <c r="C56" s="13"/>
      <c r="D56" s="13"/>
      <c r="E56" s="13"/>
      <c r="F56" s="679"/>
      <c r="G56" s="679"/>
      <c r="H56" s="679"/>
      <c r="I56" s="680"/>
      <c r="J56" s="680"/>
      <c r="K56" s="64"/>
      <c r="L56" s="47"/>
      <c r="M56" s="679"/>
      <c r="N56" s="679"/>
      <c r="O56" s="679"/>
      <c r="P56" s="679"/>
      <c r="Q56" s="679"/>
      <c r="R56" s="679"/>
      <c r="S56" s="36"/>
      <c r="T56" s="679"/>
      <c r="U56" s="66"/>
      <c r="V56" s="66"/>
      <c r="W56" s="52" t="str">
        <f>rumdin!W55</f>
        <v>Drs. M. KRISTIJADI, M.Si</v>
      </c>
      <c r="X56" s="66"/>
      <c r="Y56" s="66"/>
      <c r="Z56" s="13"/>
      <c r="AA56" s="279"/>
      <c r="AB56" s="15"/>
      <c r="AC56" s="15"/>
      <c r="AD56" s="15"/>
      <c r="AE56" s="15"/>
      <c r="AF56" s="15"/>
      <c r="AG56" s="15"/>
      <c r="AH56" s="15"/>
      <c r="AI56" s="138"/>
      <c r="AJ56" s="138"/>
      <c r="AK56" s="138"/>
    </row>
    <row r="57" spans="1:39" s="33" customFormat="1" ht="13.5" customHeight="1" x14ac:dyDescent="0.2">
      <c r="A57" s="285"/>
      <c r="B57" s="26"/>
      <c r="C57" s="13"/>
      <c r="D57" s="13"/>
      <c r="E57" s="13"/>
      <c r="F57" s="679"/>
      <c r="G57" s="679"/>
      <c r="H57" s="679"/>
      <c r="I57" s="64"/>
      <c r="J57" s="47"/>
      <c r="K57" s="679"/>
      <c r="L57" s="679"/>
      <c r="M57" s="679"/>
      <c r="N57" s="679"/>
      <c r="O57" s="679"/>
      <c r="P57" s="679"/>
      <c r="Q57" s="679"/>
      <c r="R57" s="679"/>
      <c r="S57" s="36"/>
      <c r="T57" s="679"/>
      <c r="U57" s="66"/>
      <c r="V57" s="66"/>
      <c r="W57" s="679" t="str">
        <f>rumdin!W56</f>
        <v>Pembina Utama Muda</v>
      </c>
      <c r="X57" s="66"/>
      <c r="Y57" s="66"/>
      <c r="Z57" s="13"/>
      <c r="AA57" s="279"/>
      <c r="AB57" s="15"/>
      <c r="AC57" s="15"/>
      <c r="AD57" s="15"/>
      <c r="AE57" s="15"/>
      <c r="AF57" s="15"/>
      <c r="AG57" s="15"/>
      <c r="AH57" s="15"/>
      <c r="AI57" s="138"/>
      <c r="AJ57" s="138"/>
      <c r="AK57" s="138"/>
    </row>
    <row r="58" spans="1:39" s="33" customFormat="1" ht="17.25" customHeight="1" thickBot="1" x14ac:dyDescent="0.25">
      <c r="A58" s="293"/>
      <c r="B58" s="289"/>
      <c r="C58" s="289"/>
      <c r="D58" s="289"/>
      <c r="E58" s="289"/>
      <c r="F58" s="289"/>
      <c r="G58" s="294"/>
      <c r="H58" s="288"/>
      <c r="I58" s="288"/>
      <c r="J58" s="288"/>
      <c r="K58" s="289"/>
      <c r="L58" s="289"/>
      <c r="M58" s="289"/>
      <c r="N58" s="295"/>
      <c r="O58" s="296"/>
      <c r="P58" s="289"/>
      <c r="Q58" s="289"/>
      <c r="R58" s="289"/>
      <c r="S58" s="523"/>
      <c r="T58" s="289"/>
      <c r="U58" s="297"/>
      <c r="V58" s="297"/>
      <c r="W58" s="289" t="str">
        <f>rumdin!W57</f>
        <v>NIP. 19681226 199403 1 005</v>
      </c>
      <c r="X58" s="297"/>
      <c r="Y58" s="297"/>
      <c r="Z58" s="288"/>
      <c r="AA58" s="290"/>
      <c r="AB58" s="15"/>
      <c r="AC58" s="15"/>
      <c r="AD58" s="15"/>
      <c r="AE58" s="15"/>
      <c r="AF58" s="15"/>
      <c r="AG58" s="15"/>
      <c r="AH58" s="15"/>
      <c r="AI58" s="139"/>
      <c r="AJ58" s="139"/>
      <c r="AK58" s="139"/>
    </row>
    <row r="59" spans="1:39" ht="31.5" customHeight="1" thickTop="1" x14ac:dyDescent="0.2">
      <c r="A59" s="65"/>
      <c r="B59" s="65"/>
      <c r="C59" s="65"/>
      <c r="D59" s="65"/>
      <c r="E59" s="65"/>
      <c r="F59" s="6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35"/>
      <c r="X59" s="13"/>
      <c r="Y59" s="13"/>
      <c r="Z59" s="13"/>
      <c r="AA59" s="13"/>
      <c r="AI59" s="139"/>
      <c r="AJ59" s="139"/>
      <c r="AK59" s="139"/>
    </row>
    <row r="60" spans="1:39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I60" s="139"/>
      <c r="AJ60" s="139"/>
      <c r="AK60" s="139"/>
    </row>
    <row r="61" spans="1:39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39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39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9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</sheetData>
  <mergeCells count="105">
    <mergeCell ref="G13:X13"/>
    <mergeCell ref="Y14:AA14"/>
    <mergeCell ref="Y13:AA13"/>
    <mergeCell ref="T23:U23"/>
    <mergeCell ref="V23:X23"/>
    <mergeCell ref="V26:X26"/>
    <mergeCell ref="T27:U27"/>
    <mergeCell ref="T26:U26"/>
    <mergeCell ref="T25:U25"/>
    <mergeCell ref="Y25:AA25"/>
    <mergeCell ref="R21:X21"/>
    <mergeCell ref="R22:S22"/>
    <mergeCell ref="V24:X24"/>
    <mergeCell ref="A23:J23"/>
    <mergeCell ref="V25:X25"/>
    <mergeCell ref="T24:U24"/>
    <mergeCell ref="R26:S26"/>
    <mergeCell ref="R25:S25"/>
    <mergeCell ref="R23:S23"/>
    <mergeCell ref="Y26:AA26"/>
    <mergeCell ref="Y29:AA29"/>
    <mergeCell ref="AI29:AK29"/>
    <mergeCell ref="Y27:AA27"/>
    <mergeCell ref="Y31:AA31"/>
    <mergeCell ref="V34:X34"/>
    <mergeCell ref="V33:X33"/>
    <mergeCell ref="V27:X27"/>
    <mergeCell ref="V32:X32"/>
    <mergeCell ref="V31:X31"/>
    <mergeCell ref="V29:X29"/>
    <mergeCell ref="V30:X30"/>
    <mergeCell ref="Y30:AA30"/>
    <mergeCell ref="V28:X28"/>
    <mergeCell ref="AI25:AK25"/>
    <mergeCell ref="AI27:AK27"/>
    <mergeCell ref="AI26:AK26"/>
    <mergeCell ref="Y28:AA28"/>
    <mergeCell ref="T29:U29"/>
    <mergeCell ref="T33:U33"/>
    <mergeCell ref="T36:U36"/>
    <mergeCell ref="T35:U35"/>
    <mergeCell ref="R32:S32"/>
    <mergeCell ref="T32:U32"/>
    <mergeCell ref="R31:S31"/>
    <mergeCell ref="T31:U31"/>
    <mergeCell ref="Y33:AA33"/>
    <mergeCell ref="AI36:AK36"/>
    <mergeCell ref="Y34:AA34"/>
    <mergeCell ref="Y35:AA35"/>
    <mergeCell ref="AI35:AK35"/>
    <mergeCell ref="Y32:AA32"/>
    <mergeCell ref="R29:S29"/>
    <mergeCell ref="R30:S30"/>
    <mergeCell ref="T30:U30"/>
    <mergeCell ref="R28:S28"/>
    <mergeCell ref="T28:U28"/>
    <mergeCell ref="Y36:AA36"/>
    <mergeCell ref="A1:Q1"/>
    <mergeCell ref="R27:S27"/>
    <mergeCell ref="R24:S24"/>
    <mergeCell ref="A2:Q2"/>
    <mergeCell ref="A4:AA4"/>
    <mergeCell ref="A3:AA3"/>
    <mergeCell ref="K21:Q22"/>
    <mergeCell ref="Y1:AA2"/>
    <mergeCell ref="R1:X1"/>
    <mergeCell ref="Y24:AA24"/>
    <mergeCell ref="Y21:AA22"/>
    <mergeCell ref="T22:U22"/>
    <mergeCell ref="Y17:AA17"/>
    <mergeCell ref="Y16:AA16"/>
    <mergeCell ref="Y15:AA15"/>
    <mergeCell ref="V22:X22"/>
    <mergeCell ref="M5:AA5"/>
    <mergeCell ref="Y23:AA23"/>
    <mergeCell ref="A12:AA12"/>
    <mergeCell ref="A21:J22"/>
    <mergeCell ref="A13:F13"/>
    <mergeCell ref="A19:AA19"/>
    <mergeCell ref="A20:AA20"/>
    <mergeCell ref="K23:Q23"/>
    <mergeCell ref="A48:R48"/>
    <mergeCell ref="AI40:AK40"/>
    <mergeCell ref="AI33:AK33"/>
    <mergeCell ref="AI34:AK34"/>
    <mergeCell ref="R38:S38"/>
    <mergeCell ref="R36:S36"/>
    <mergeCell ref="R35:S35"/>
    <mergeCell ref="R34:S34"/>
    <mergeCell ref="V35:X35"/>
    <mergeCell ref="T39:U39"/>
    <mergeCell ref="V39:X39"/>
    <mergeCell ref="V36:X36"/>
    <mergeCell ref="T38:U38"/>
    <mergeCell ref="T34:U34"/>
    <mergeCell ref="R33:S33"/>
    <mergeCell ref="G45:J45"/>
    <mergeCell ref="G44:J44"/>
    <mergeCell ref="G43:J43"/>
    <mergeCell ref="R39:S39"/>
    <mergeCell ref="G42:J42"/>
    <mergeCell ref="G41:J41"/>
    <mergeCell ref="Y39:AA39"/>
    <mergeCell ref="V38:X38"/>
    <mergeCell ref="Y38:AA38"/>
  </mergeCells>
  <phoneticPr fontId="2" type="noConversion"/>
  <printOptions horizontalCentered="1"/>
  <pageMargins left="0.31496062992125984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6"/>
  <sheetViews>
    <sheetView showGridLines="0" view="pageBreakPreview" topLeftCell="I60" zoomScaleSheetLayoutView="100" workbookViewId="0">
      <selection activeCell="L47" sqref="L47"/>
    </sheetView>
  </sheetViews>
  <sheetFormatPr defaultColWidth="4.42578125" defaultRowHeight="16.5" x14ac:dyDescent="0.2"/>
  <cols>
    <col min="1" max="10" width="3.7109375" style="15" customWidth="1"/>
    <col min="11" max="16" width="4.42578125" style="15" customWidth="1"/>
    <col min="17" max="17" width="4.85546875" style="15" customWidth="1"/>
    <col min="18" max="27" width="4.42578125" style="15" customWidth="1"/>
    <col min="28" max="28" width="10.5703125" style="15" customWidth="1"/>
    <col min="29" max="40" width="5" style="15" customWidth="1"/>
    <col min="41" max="41" width="13.7109375" style="15" customWidth="1"/>
    <col min="42" max="42" width="9.5703125" style="15" customWidth="1"/>
    <col min="43" max="16384" width="4.42578125" style="15"/>
  </cols>
  <sheetData>
    <row r="1" spans="1:39" ht="23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9" ht="23.2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02</v>
      </c>
      <c r="V2" s="56" t="str">
        <f>L8</f>
        <v>24</v>
      </c>
      <c r="W2" s="56" t="s">
        <v>40</v>
      </c>
      <c r="X2" s="56" t="s">
        <v>41</v>
      </c>
      <c r="Y2" s="777"/>
      <c r="Z2" s="778"/>
      <c r="AA2" s="779"/>
    </row>
    <row r="3" spans="1:39" ht="1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9" ht="17.2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9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9" ht="17.100000000000001" customHeight="1" x14ac:dyDescent="0.2">
      <c r="A6" s="266" t="s">
        <v>19</v>
      </c>
      <c r="B6" s="119"/>
      <c r="C6" s="119"/>
      <c r="D6" s="119"/>
      <c r="E6" s="119"/>
      <c r="F6" s="119"/>
      <c r="G6" s="683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9" ht="17.100000000000001" customHeight="1" x14ac:dyDescent="0.2">
      <c r="A7" s="266" t="s">
        <v>20</v>
      </c>
      <c r="B7" s="119"/>
      <c r="C7" s="119"/>
      <c r="D7" s="119"/>
      <c r="E7" s="119"/>
      <c r="F7" s="119"/>
      <c r="G7" s="683" t="s">
        <v>89</v>
      </c>
      <c r="H7" s="61" t="s">
        <v>328</v>
      </c>
      <c r="I7" s="61"/>
      <c r="J7" s="61"/>
      <c r="K7" s="61" t="s">
        <v>50</v>
      </c>
      <c r="L7" s="61"/>
      <c r="M7" s="16" t="s">
        <v>181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9" ht="17.100000000000001" customHeight="1" x14ac:dyDescent="0.2">
      <c r="A8" s="268" t="s">
        <v>21</v>
      </c>
      <c r="B8" s="120"/>
      <c r="C8" s="120"/>
      <c r="D8" s="120"/>
      <c r="E8" s="120"/>
      <c r="F8" s="120"/>
      <c r="G8" s="683" t="s">
        <v>89</v>
      </c>
      <c r="H8" s="61" t="s">
        <v>328</v>
      </c>
      <c r="I8" s="61"/>
      <c r="J8" s="61"/>
      <c r="K8" s="61" t="s">
        <v>50</v>
      </c>
      <c r="L8" s="61" t="s">
        <v>99</v>
      </c>
      <c r="M8" s="16" t="s">
        <v>212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9" ht="17.100000000000001" customHeight="1" x14ac:dyDescent="0.2">
      <c r="A9" s="268" t="s">
        <v>22</v>
      </c>
      <c r="B9" s="120"/>
      <c r="C9" s="120"/>
      <c r="D9" s="120"/>
      <c r="E9" s="120"/>
      <c r="F9" s="120"/>
      <c r="G9" s="683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9" ht="17.100000000000001" customHeight="1" x14ac:dyDescent="0.2">
      <c r="A10" s="268" t="s">
        <v>23</v>
      </c>
      <c r="B10" s="120"/>
      <c r="C10" s="120"/>
      <c r="D10" s="120"/>
      <c r="E10" s="120"/>
      <c r="F10" s="120"/>
      <c r="G10" s="683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9" ht="17.100000000000001" customHeight="1" x14ac:dyDescent="0.2">
      <c r="A11" s="268" t="s">
        <v>24</v>
      </c>
      <c r="B11" s="120"/>
      <c r="C11" s="120"/>
      <c r="D11" s="120"/>
      <c r="E11" s="120"/>
      <c r="F11" s="120"/>
      <c r="G11" s="683" t="s">
        <v>89</v>
      </c>
      <c r="H11" s="18" t="s">
        <v>385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9" ht="17.100000000000001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G12" s="50"/>
      <c r="AJ12" s="50"/>
      <c r="AM12" s="50"/>
    </row>
    <row r="13" spans="1:39" ht="17.100000000000001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9" ht="17.100000000000001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150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  <c r="AG14" s="50"/>
      <c r="AJ14" s="50"/>
      <c r="AM14" s="50"/>
    </row>
    <row r="15" spans="1:39" ht="17.100000000000001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45000000</v>
      </c>
      <c r="Z15" s="892"/>
      <c r="AA15" s="893"/>
      <c r="AD15" s="51"/>
      <c r="AG15" s="51"/>
      <c r="AJ15" s="51"/>
      <c r="AM15" s="51"/>
    </row>
    <row r="16" spans="1:39" ht="17.100000000000001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151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43" ht="17.100000000000001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151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  <c r="AG17" s="51"/>
      <c r="AJ17" s="51"/>
      <c r="AM17" s="51"/>
    </row>
    <row r="18" spans="1:43" ht="17.100000000000001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G18" s="51"/>
      <c r="AJ18" s="51"/>
      <c r="AM18" s="51"/>
    </row>
    <row r="19" spans="1:43" ht="17.2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43" ht="17.2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G20" s="48"/>
      <c r="AJ20" s="48"/>
      <c r="AM20" s="48"/>
    </row>
    <row r="21" spans="1:43" ht="18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43" ht="18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43" ht="16.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43" ht="17.25" customHeight="1" x14ac:dyDescent="0.2">
      <c r="A24" s="556" t="s">
        <v>323</v>
      </c>
      <c r="B24" s="557" t="s">
        <v>323</v>
      </c>
      <c r="C24" s="557" t="s">
        <v>277</v>
      </c>
      <c r="D24" s="83" t="s">
        <v>50</v>
      </c>
      <c r="E24" s="83" t="s">
        <v>99</v>
      </c>
      <c r="F24" s="23" t="s">
        <v>40</v>
      </c>
      <c r="G24" s="23" t="s">
        <v>41</v>
      </c>
      <c r="H24" s="23" t="s">
        <v>41</v>
      </c>
      <c r="I24" s="23"/>
      <c r="J24" s="23"/>
      <c r="K24" s="91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45000000</v>
      </c>
      <c r="Z24" s="918"/>
      <c r="AA24" s="948"/>
      <c r="AB24" s="164"/>
    </row>
    <row r="25" spans="1:43" ht="17.25" customHeight="1" x14ac:dyDescent="0.2">
      <c r="A25" s="270" t="s">
        <v>323</v>
      </c>
      <c r="B25" s="23" t="s">
        <v>323</v>
      </c>
      <c r="C25" s="23" t="s">
        <v>277</v>
      </c>
      <c r="D25" s="23" t="s">
        <v>50</v>
      </c>
      <c r="E25" s="23" t="s">
        <v>99</v>
      </c>
      <c r="F25" s="23" t="s">
        <v>40</v>
      </c>
      <c r="G25" s="23" t="s">
        <v>41</v>
      </c>
      <c r="H25" s="23" t="s">
        <v>41</v>
      </c>
      <c r="I25" s="23" t="s">
        <v>43</v>
      </c>
      <c r="J25" s="23"/>
      <c r="K25" s="130" t="s">
        <v>182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Y26+Y29+Y32+Y40</f>
        <v>45000000</v>
      </c>
      <c r="Z25" s="918"/>
      <c r="AA25" s="948"/>
      <c r="AB25" s="138"/>
      <c r="AC25" s="800" t="s">
        <v>213</v>
      </c>
      <c r="AD25" s="800"/>
      <c r="AE25" s="800"/>
      <c r="AF25" s="800" t="s">
        <v>214</v>
      </c>
      <c r="AG25" s="800"/>
      <c r="AH25" s="800"/>
      <c r="AI25" s="800" t="s">
        <v>216</v>
      </c>
      <c r="AJ25" s="800"/>
      <c r="AK25" s="800"/>
      <c r="AL25" s="800" t="s">
        <v>215</v>
      </c>
      <c r="AM25" s="800"/>
      <c r="AN25" s="800"/>
      <c r="AO25" s="48">
        <f>AO26+AO29+AO32+AO40</f>
        <v>45000000</v>
      </c>
    </row>
    <row r="26" spans="1:43" ht="17.25" customHeight="1" x14ac:dyDescent="0.2">
      <c r="A26" s="271" t="s">
        <v>323</v>
      </c>
      <c r="B26" s="25" t="s">
        <v>323</v>
      </c>
      <c r="C26" s="25" t="s">
        <v>277</v>
      </c>
      <c r="D26" s="25" t="s">
        <v>50</v>
      </c>
      <c r="E26" s="25" t="s">
        <v>99</v>
      </c>
      <c r="F26" s="25" t="s">
        <v>40</v>
      </c>
      <c r="G26" s="25" t="s">
        <v>41</v>
      </c>
      <c r="H26" s="25" t="s">
        <v>41</v>
      </c>
      <c r="I26" s="25" t="s">
        <v>43</v>
      </c>
      <c r="J26" s="25" t="s">
        <v>44</v>
      </c>
      <c r="K26" s="24" t="s">
        <v>75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SUM(Y27:AA28)</f>
        <v>10000000</v>
      </c>
      <c r="Z26" s="871"/>
      <c r="AA26" s="930"/>
      <c r="AB26" s="138"/>
      <c r="AC26" s="917">
        <f>SUM(AC27:AE28)</f>
        <v>2750000</v>
      </c>
      <c r="AD26" s="918"/>
      <c r="AE26" s="1170"/>
      <c r="AF26" s="917">
        <f>SUM(AF27:AH28)</f>
        <v>2250000</v>
      </c>
      <c r="AG26" s="918"/>
      <c r="AH26" s="1170"/>
      <c r="AI26" s="917">
        <f>SUM(AI27:AK28)</f>
        <v>2750000</v>
      </c>
      <c r="AJ26" s="918"/>
      <c r="AK26" s="1170"/>
      <c r="AL26" s="917">
        <f>SUM(AL27:AN28)</f>
        <v>2250000</v>
      </c>
      <c r="AM26" s="918"/>
      <c r="AN26" s="1170"/>
      <c r="AO26" s="103">
        <f>SUM(AC26:AN26)</f>
        <v>10000000</v>
      </c>
    </row>
    <row r="27" spans="1:43" ht="17.25" customHeight="1" x14ac:dyDescent="0.3">
      <c r="A27" s="271"/>
      <c r="B27" s="25"/>
      <c r="C27" s="25"/>
      <c r="D27" s="25"/>
      <c r="E27" s="25"/>
      <c r="F27" s="25"/>
      <c r="G27" s="25"/>
      <c r="H27" s="25"/>
      <c r="I27" s="25"/>
      <c r="J27" s="25"/>
      <c r="K27" s="55" t="s">
        <v>163</v>
      </c>
      <c r="L27" s="60"/>
      <c r="M27" s="57"/>
      <c r="N27" s="57"/>
      <c r="O27" s="57"/>
      <c r="P27" s="60"/>
      <c r="Q27" s="57"/>
      <c r="R27" s="1131">
        <v>1</v>
      </c>
      <c r="S27" s="1132"/>
      <c r="T27" s="1131" t="s">
        <v>180</v>
      </c>
      <c r="U27" s="1132"/>
      <c r="V27" s="1167">
        <v>9000000</v>
      </c>
      <c r="W27" s="1168"/>
      <c r="X27" s="1169"/>
      <c r="Y27" s="870">
        <f>V27*R27</f>
        <v>9000000</v>
      </c>
      <c r="Z27" s="871"/>
      <c r="AA27" s="930"/>
      <c r="AB27" s="138"/>
      <c r="AC27" s="824">
        <v>2500000</v>
      </c>
      <c r="AD27" s="824"/>
      <c r="AE27" s="1144"/>
      <c r="AF27" s="1143">
        <v>2000000</v>
      </c>
      <c r="AG27" s="824"/>
      <c r="AH27" s="1144"/>
      <c r="AI27" s="824">
        <v>2500000</v>
      </c>
      <c r="AJ27" s="824"/>
      <c r="AK27" s="1144"/>
      <c r="AL27" s="1143">
        <v>2000000</v>
      </c>
      <c r="AM27" s="824"/>
      <c r="AN27" s="1144"/>
      <c r="AO27" s="48">
        <f t="shared" ref="AO27:AO42" si="0">SUM(AC27:AN27)</f>
        <v>9000000</v>
      </c>
    </row>
    <row r="28" spans="1:43" ht="17.25" customHeight="1" x14ac:dyDescent="0.3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55" t="s">
        <v>425</v>
      </c>
      <c r="L28" s="60"/>
      <c r="M28" s="57"/>
      <c r="N28" s="57"/>
      <c r="O28" s="57"/>
      <c r="P28" s="60"/>
      <c r="Q28" s="57"/>
      <c r="R28" s="1131">
        <v>1</v>
      </c>
      <c r="S28" s="1132"/>
      <c r="T28" s="1131" t="s">
        <v>180</v>
      </c>
      <c r="U28" s="1132"/>
      <c r="V28" s="1167">
        <v>1000000</v>
      </c>
      <c r="W28" s="1168"/>
      <c r="X28" s="1169"/>
      <c r="Y28" s="870">
        <f>V28*R28</f>
        <v>1000000</v>
      </c>
      <c r="Z28" s="871"/>
      <c r="AA28" s="930"/>
      <c r="AB28" s="138"/>
      <c r="AC28" s="1171">
        <v>250000</v>
      </c>
      <c r="AD28" s="1171"/>
      <c r="AE28" s="1172"/>
      <c r="AF28" s="1171">
        <v>250000</v>
      </c>
      <c r="AG28" s="1171"/>
      <c r="AH28" s="1172"/>
      <c r="AI28" s="1171">
        <v>250000</v>
      </c>
      <c r="AJ28" s="1171"/>
      <c r="AK28" s="1172"/>
      <c r="AL28" s="1171">
        <v>250000</v>
      </c>
      <c r="AM28" s="1171"/>
      <c r="AN28" s="1172"/>
      <c r="AO28" s="48">
        <f t="shared" si="0"/>
        <v>1000000</v>
      </c>
    </row>
    <row r="29" spans="1:43" ht="17.25" customHeight="1" x14ac:dyDescent="0.3">
      <c r="A29" s="271" t="s">
        <v>80</v>
      </c>
      <c r="B29" s="25" t="s">
        <v>80</v>
      </c>
      <c r="C29" s="25" t="s">
        <v>78</v>
      </c>
      <c r="D29" s="25" t="s">
        <v>50</v>
      </c>
      <c r="E29" s="25" t="s">
        <v>99</v>
      </c>
      <c r="F29" s="25" t="s">
        <v>40</v>
      </c>
      <c r="G29" s="25" t="s">
        <v>41</v>
      </c>
      <c r="H29" s="25" t="s">
        <v>41</v>
      </c>
      <c r="I29" s="25" t="s">
        <v>43</v>
      </c>
      <c r="J29" s="25" t="s">
        <v>50</v>
      </c>
      <c r="K29" s="24" t="s">
        <v>76</v>
      </c>
      <c r="L29" s="60"/>
      <c r="M29" s="57"/>
      <c r="N29" s="57"/>
      <c r="O29" s="57"/>
      <c r="P29" s="60"/>
      <c r="Q29" s="57"/>
      <c r="R29" s="88"/>
      <c r="S29" s="97"/>
      <c r="T29" s="88"/>
      <c r="U29" s="98"/>
      <c r="V29" s="89"/>
      <c r="W29" s="101"/>
      <c r="X29" s="99"/>
      <c r="Y29" s="870">
        <f>SUM(Y30:AA31)</f>
        <v>11000000</v>
      </c>
      <c r="Z29" s="871"/>
      <c r="AA29" s="930"/>
      <c r="AB29" s="138"/>
      <c r="AC29" s="917">
        <f>SUM(AC30:AE31)</f>
        <v>3000000</v>
      </c>
      <c r="AD29" s="918"/>
      <c r="AE29" s="1170"/>
      <c r="AF29" s="917">
        <f>SUM(AF30:AH31)</f>
        <v>2500000</v>
      </c>
      <c r="AG29" s="918"/>
      <c r="AH29" s="1170"/>
      <c r="AI29" s="917">
        <f>SUM(AI30:AK31)</f>
        <v>3000000</v>
      </c>
      <c r="AJ29" s="918"/>
      <c r="AK29" s="1170"/>
      <c r="AL29" s="917">
        <f>SUM(AL30:AN31)</f>
        <v>2500000</v>
      </c>
      <c r="AM29" s="918"/>
      <c r="AN29" s="1170"/>
      <c r="AO29" s="103">
        <f t="shared" si="0"/>
        <v>11000000</v>
      </c>
    </row>
    <row r="30" spans="1:43" ht="17.25" customHeight="1" x14ac:dyDescent="0.3">
      <c r="A30" s="271"/>
      <c r="B30" s="25"/>
      <c r="C30" s="25"/>
      <c r="D30" s="25"/>
      <c r="E30" s="25"/>
      <c r="F30" s="25"/>
      <c r="G30" s="25"/>
      <c r="H30" s="25"/>
      <c r="I30" s="25"/>
      <c r="J30" s="25"/>
      <c r="K30" s="55" t="s">
        <v>162</v>
      </c>
      <c r="L30" s="60"/>
      <c r="M30" s="57"/>
      <c r="N30" s="57"/>
      <c r="O30" s="57"/>
      <c r="P30" s="60"/>
      <c r="Q30" s="57"/>
      <c r="R30" s="1131">
        <v>1</v>
      </c>
      <c r="S30" s="1132"/>
      <c r="T30" s="1131" t="s">
        <v>180</v>
      </c>
      <c r="U30" s="1132"/>
      <c r="V30" s="1167">
        <v>9000000</v>
      </c>
      <c r="W30" s="1168"/>
      <c r="X30" s="1169"/>
      <c r="Y30" s="870">
        <f>V30*R30</f>
        <v>9000000</v>
      </c>
      <c r="Z30" s="871"/>
      <c r="AA30" s="930"/>
      <c r="AB30" s="291"/>
      <c r="AC30" s="824">
        <v>2500000</v>
      </c>
      <c r="AD30" s="824"/>
      <c r="AE30" s="1144"/>
      <c r="AF30" s="1143">
        <v>2000000</v>
      </c>
      <c r="AG30" s="824"/>
      <c r="AH30" s="1144"/>
      <c r="AI30" s="824">
        <v>2500000</v>
      </c>
      <c r="AJ30" s="824"/>
      <c r="AK30" s="1144"/>
      <c r="AL30" s="1143">
        <v>2000000</v>
      </c>
      <c r="AM30" s="824"/>
      <c r="AN30" s="1144"/>
      <c r="AO30" s="48">
        <f t="shared" si="0"/>
        <v>9000000</v>
      </c>
    </row>
    <row r="31" spans="1:43" ht="17.25" customHeight="1" x14ac:dyDescent="0.3">
      <c r="A31" s="271"/>
      <c r="B31" s="25"/>
      <c r="C31" s="25"/>
      <c r="D31" s="25"/>
      <c r="E31" s="25"/>
      <c r="F31" s="25"/>
      <c r="G31" s="25"/>
      <c r="H31" s="25"/>
      <c r="I31" s="25"/>
      <c r="J31" s="25"/>
      <c r="K31" s="55" t="s">
        <v>374</v>
      </c>
      <c r="L31" s="60"/>
      <c r="M31" s="57"/>
      <c r="N31" s="57"/>
      <c r="O31" s="57"/>
      <c r="P31" s="60"/>
      <c r="Q31" s="57"/>
      <c r="R31" s="1131">
        <v>1</v>
      </c>
      <c r="S31" s="1132"/>
      <c r="T31" s="1131" t="s">
        <v>180</v>
      </c>
      <c r="U31" s="1132"/>
      <c r="V31" s="1167">
        <v>2000000</v>
      </c>
      <c r="W31" s="1168"/>
      <c r="X31" s="1169"/>
      <c r="Y31" s="870">
        <f>V31*R31</f>
        <v>2000000</v>
      </c>
      <c r="Z31" s="871"/>
      <c r="AA31" s="930"/>
      <c r="AB31" s="291"/>
      <c r="AC31" s="824">
        <v>500000</v>
      </c>
      <c r="AD31" s="824"/>
      <c r="AE31" s="1144"/>
      <c r="AF31" s="824">
        <v>500000</v>
      </c>
      <c r="AG31" s="824"/>
      <c r="AH31" s="1144"/>
      <c r="AI31" s="824">
        <v>500000</v>
      </c>
      <c r="AJ31" s="824"/>
      <c r="AK31" s="1144"/>
      <c r="AL31" s="824">
        <v>500000</v>
      </c>
      <c r="AM31" s="824"/>
      <c r="AN31" s="1144"/>
      <c r="AO31" s="48">
        <f t="shared" si="0"/>
        <v>2000000</v>
      </c>
    </row>
    <row r="32" spans="1:43" ht="17.25" customHeight="1" x14ac:dyDescent="0.3">
      <c r="A32" s="271" t="s">
        <v>80</v>
      </c>
      <c r="B32" s="25" t="s">
        <v>80</v>
      </c>
      <c r="C32" s="25" t="s">
        <v>78</v>
      </c>
      <c r="D32" s="25" t="s">
        <v>50</v>
      </c>
      <c r="E32" s="25" t="s">
        <v>99</v>
      </c>
      <c r="F32" s="25" t="s">
        <v>40</v>
      </c>
      <c r="G32" s="25" t="s">
        <v>41</v>
      </c>
      <c r="H32" s="25" t="s">
        <v>41</v>
      </c>
      <c r="I32" s="25" t="s">
        <v>43</v>
      </c>
      <c r="J32" s="25" t="s">
        <v>42</v>
      </c>
      <c r="K32" s="24" t="s">
        <v>253</v>
      </c>
      <c r="L32" s="60"/>
      <c r="M32" s="57"/>
      <c r="N32" s="57"/>
      <c r="O32" s="57"/>
      <c r="P32" s="60"/>
      <c r="Q32" s="57"/>
      <c r="R32" s="1131"/>
      <c r="S32" s="1132"/>
      <c r="T32" s="1131"/>
      <c r="U32" s="1132"/>
      <c r="V32" s="1167"/>
      <c r="W32" s="1168"/>
      <c r="X32" s="1169"/>
      <c r="Y32" s="870">
        <f>Y34+Y37</f>
        <v>21750000</v>
      </c>
      <c r="Z32" s="871"/>
      <c r="AA32" s="930"/>
      <c r="AB32" s="138"/>
      <c r="AC32" s="917">
        <f>AC35+AC38+AC36+AC39</f>
        <v>4600000</v>
      </c>
      <c r="AD32" s="918"/>
      <c r="AE32" s="1170"/>
      <c r="AF32" s="917">
        <f>AF35+AF38+AF36+AF39</f>
        <v>6250000</v>
      </c>
      <c r="AG32" s="918"/>
      <c r="AH32" s="1170"/>
      <c r="AI32" s="917">
        <f>AI35+AI38+AI36+AI39</f>
        <v>6250000</v>
      </c>
      <c r="AJ32" s="918"/>
      <c r="AK32" s="1170"/>
      <c r="AL32" s="917">
        <f>AL35+AL38+AL36+AL39</f>
        <v>4650000</v>
      </c>
      <c r="AM32" s="918"/>
      <c r="AN32" s="1170"/>
      <c r="AO32" s="332">
        <f>AO35+AO38+AO36+AO39</f>
        <v>21750000</v>
      </c>
      <c r="AP32" s="333"/>
      <c r="AQ32" s="334"/>
    </row>
    <row r="33" spans="1:42" ht="17.25" customHeight="1" x14ac:dyDescent="0.3">
      <c r="A33" s="271"/>
      <c r="B33" s="25"/>
      <c r="C33" s="25"/>
      <c r="D33" s="25"/>
      <c r="E33" s="25"/>
      <c r="F33" s="25"/>
      <c r="G33" s="25"/>
      <c r="H33" s="25"/>
      <c r="I33" s="25"/>
      <c r="J33" s="25"/>
      <c r="K33" s="24" t="s">
        <v>254</v>
      </c>
      <c r="L33" s="60"/>
      <c r="M33" s="57"/>
      <c r="N33" s="57"/>
      <c r="O33" s="57"/>
      <c r="P33" s="60"/>
      <c r="Q33" s="57"/>
      <c r="R33" s="88"/>
      <c r="S33" s="97"/>
      <c r="T33" s="88"/>
      <c r="U33" s="98"/>
      <c r="V33" s="89"/>
      <c r="W33" s="102"/>
      <c r="X33" s="100"/>
      <c r="Y33" s="681"/>
      <c r="Z33" s="682"/>
      <c r="AA33" s="685"/>
      <c r="AB33" s="138"/>
      <c r="AC33" s="643"/>
      <c r="AD33" s="644"/>
      <c r="AE33" s="661"/>
      <c r="AF33" s="643"/>
      <c r="AG33" s="644"/>
      <c r="AH33" s="661"/>
      <c r="AI33" s="643"/>
      <c r="AJ33" s="644"/>
      <c r="AK33" s="661"/>
      <c r="AL33" s="643"/>
      <c r="AM33" s="644"/>
      <c r="AN33" s="661"/>
      <c r="AO33" s="103"/>
    </row>
    <row r="34" spans="1:42" ht="17.25" customHeight="1" x14ac:dyDescent="0.3">
      <c r="A34" s="271"/>
      <c r="B34" s="25"/>
      <c r="C34" s="25"/>
      <c r="D34" s="25"/>
      <c r="E34" s="25"/>
      <c r="F34" s="25"/>
      <c r="G34" s="25"/>
      <c r="H34" s="25"/>
      <c r="I34" s="25"/>
      <c r="J34" s="25"/>
      <c r="K34" s="24" t="s">
        <v>424</v>
      </c>
      <c r="L34" s="60"/>
      <c r="M34" s="57"/>
      <c r="N34" s="57"/>
      <c r="O34" s="57"/>
      <c r="P34" s="60"/>
      <c r="Q34" s="57"/>
      <c r="R34" s="88"/>
      <c r="S34" s="97"/>
      <c r="T34" s="88"/>
      <c r="U34" s="98"/>
      <c r="V34" s="88"/>
      <c r="W34" s="102"/>
      <c r="X34" s="100"/>
      <c r="Y34" s="870">
        <f>SUM(Y35:AA36)</f>
        <v>16000000</v>
      </c>
      <c r="Z34" s="871"/>
      <c r="AA34" s="930"/>
      <c r="AB34" s="291"/>
      <c r="AC34" s="870"/>
      <c r="AD34" s="871"/>
      <c r="AE34" s="1176"/>
      <c r="AF34" s="870"/>
      <c r="AG34" s="871"/>
      <c r="AH34" s="1176"/>
      <c r="AI34" s="870"/>
      <c r="AJ34" s="871"/>
      <c r="AK34" s="1176"/>
      <c r="AL34" s="870"/>
      <c r="AM34" s="871"/>
      <c r="AN34" s="1176"/>
      <c r="AO34" s="48">
        <f t="shared" si="0"/>
        <v>0</v>
      </c>
    </row>
    <row r="35" spans="1:42" ht="17.25" customHeight="1" x14ac:dyDescent="0.3">
      <c r="A35" s="271"/>
      <c r="B35" s="25"/>
      <c r="C35" s="25"/>
      <c r="D35" s="25"/>
      <c r="E35" s="25"/>
      <c r="F35" s="25"/>
      <c r="G35" s="25"/>
      <c r="H35" s="25"/>
      <c r="I35" s="25"/>
      <c r="J35" s="25"/>
      <c r="K35" s="24" t="s">
        <v>263</v>
      </c>
      <c r="L35" s="60"/>
      <c r="M35" s="57"/>
      <c r="N35" s="57"/>
      <c r="O35" s="57"/>
      <c r="P35" s="60"/>
      <c r="Q35" s="57"/>
      <c r="R35" s="1165">
        <v>1</v>
      </c>
      <c r="S35" s="1166"/>
      <c r="T35" s="1131" t="s">
        <v>180</v>
      </c>
      <c r="U35" s="1132"/>
      <c r="V35" s="1167">
        <v>15000000</v>
      </c>
      <c r="W35" s="1168"/>
      <c r="X35" s="1169"/>
      <c r="Y35" s="870">
        <f>R35*V35</f>
        <v>15000000</v>
      </c>
      <c r="Z35" s="871"/>
      <c r="AA35" s="930"/>
      <c r="AB35" s="292"/>
      <c r="AC35" s="824">
        <v>3000000</v>
      </c>
      <c r="AD35" s="824"/>
      <c r="AE35" s="1144"/>
      <c r="AF35" s="824">
        <v>4500000</v>
      </c>
      <c r="AG35" s="824"/>
      <c r="AH35" s="1144"/>
      <c r="AI35" s="824">
        <v>4500000</v>
      </c>
      <c r="AJ35" s="824"/>
      <c r="AK35" s="1144"/>
      <c r="AL35" s="824">
        <v>3000000</v>
      </c>
      <c r="AM35" s="824"/>
      <c r="AN35" s="1144"/>
      <c r="AO35" s="48">
        <f t="shared" si="0"/>
        <v>15000000</v>
      </c>
      <c r="AP35" s="15">
        <f>2234/4</f>
        <v>558.5</v>
      </c>
    </row>
    <row r="36" spans="1:42" ht="17.25" customHeight="1" x14ac:dyDescent="0.3">
      <c r="A36" s="271"/>
      <c r="B36" s="25"/>
      <c r="C36" s="25"/>
      <c r="D36" s="25"/>
      <c r="E36" s="25"/>
      <c r="F36" s="25"/>
      <c r="G36" s="25"/>
      <c r="H36" s="25"/>
      <c r="I36" s="25"/>
      <c r="J36" s="25"/>
      <c r="K36" s="24" t="s">
        <v>283</v>
      </c>
      <c r="L36" s="60"/>
      <c r="M36" s="57"/>
      <c r="N36" s="57"/>
      <c r="O36" s="57"/>
      <c r="P36" s="60"/>
      <c r="Q36" s="57"/>
      <c r="R36" s="1131">
        <v>1</v>
      </c>
      <c r="S36" s="1132"/>
      <c r="T36" s="1131" t="s">
        <v>180</v>
      </c>
      <c r="U36" s="1132"/>
      <c r="V36" s="1167">
        <v>1000000</v>
      </c>
      <c r="W36" s="1168"/>
      <c r="X36" s="1169"/>
      <c r="Y36" s="870">
        <f>V36*R36</f>
        <v>1000000</v>
      </c>
      <c r="Z36" s="871"/>
      <c r="AA36" s="930"/>
      <c r="AB36" s="138"/>
      <c r="AC36" s="1171">
        <v>250000</v>
      </c>
      <c r="AD36" s="1171"/>
      <c r="AE36" s="1172"/>
      <c r="AF36" s="1171">
        <v>250000</v>
      </c>
      <c r="AG36" s="1171"/>
      <c r="AH36" s="1172"/>
      <c r="AI36" s="1171">
        <v>250000</v>
      </c>
      <c r="AJ36" s="1171"/>
      <c r="AK36" s="1172"/>
      <c r="AL36" s="1171">
        <v>250000</v>
      </c>
      <c r="AM36" s="1171"/>
      <c r="AN36" s="1172"/>
      <c r="AO36" s="48">
        <f t="shared" si="0"/>
        <v>1000000</v>
      </c>
    </row>
    <row r="37" spans="1:42" ht="17.25" customHeight="1" x14ac:dyDescent="0.3">
      <c r="A37" s="271"/>
      <c r="B37" s="25"/>
      <c r="C37" s="25"/>
      <c r="D37" s="25"/>
      <c r="E37" s="25"/>
      <c r="F37" s="25"/>
      <c r="G37" s="25"/>
      <c r="H37" s="25"/>
      <c r="I37" s="25"/>
      <c r="J37" s="25"/>
      <c r="K37" s="68" t="s">
        <v>426</v>
      </c>
      <c r="L37" s="60"/>
      <c r="M37" s="57"/>
      <c r="N37" s="57"/>
      <c r="O37" s="57"/>
      <c r="P37" s="60"/>
      <c r="Q37" s="57"/>
      <c r="R37" s="88"/>
      <c r="S37" s="97"/>
      <c r="T37" s="88"/>
      <c r="U37" s="98"/>
      <c r="V37" s="88"/>
      <c r="W37" s="102"/>
      <c r="X37" s="100"/>
      <c r="Y37" s="870">
        <f>SUM(Y38:AA39)</f>
        <v>5750000</v>
      </c>
      <c r="Z37" s="871"/>
      <c r="AA37" s="930"/>
      <c r="AB37" s="138"/>
      <c r="AC37" s="870"/>
      <c r="AD37" s="871"/>
      <c r="AE37" s="1176"/>
      <c r="AF37" s="870"/>
      <c r="AG37" s="871"/>
      <c r="AH37" s="1176"/>
      <c r="AI37" s="870"/>
      <c r="AJ37" s="871"/>
      <c r="AK37" s="1176"/>
      <c r="AL37" s="870"/>
      <c r="AM37" s="871"/>
      <c r="AN37" s="1176"/>
      <c r="AO37" s="48"/>
    </row>
    <row r="38" spans="1:42" ht="17.25" customHeight="1" x14ac:dyDescent="0.3">
      <c r="A38" s="271"/>
      <c r="B38" s="25"/>
      <c r="C38" s="25"/>
      <c r="D38" s="25"/>
      <c r="E38" s="25"/>
      <c r="F38" s="25"/>
      <c r="G38" s="25"/>
      <c r="H38" s="25"/>
      <c r="I38" s="25"/>
      <c r="J38" s="25"/>
      <c r="K38" s="24" t="s">
        <v>264</v>
      </c>
      <c r="L38" s="60"/>
      <c r="M38" s="57"/>
      <c r="N38" s="57"/>
      <c r="O38" s="57"/>
      <c r="P38" s="60"/>
      <c r="Q38" s="57"/>
      <c r="R38" s="1165">
        <v>1</v>
      </c>
      <c r="S38" s="1166"/>
      <c r="T38" s="1131" t="s">
        <v>180</v>
      </c>
      <c r="U38" s="1132"/>
      <c r="V38" s="1167">
        <v>5000000</v>
      </c>
      <c r="W38" s="1168"/>
      <c r="X38" s="1169"/>
      <c r="Y38" s="870">
        <f>R38*V38</f>
        <v>5000000</v>
      </c>
      <c r="Z38" s="871"/>
      <c r="AA38" s="930"/>
      <c r="AB38" s="138"/>
      <c r="AC38" s="824">
        <v>1150000</v>
      </c>
      <c r="AD38" s="824"/>
      <c r="AE38" s="1144"/>
      <c r="AF38" s="824">
        <v>1300000</v>
      </c>
      <c r="AG38" s="824"/>
      <c r="AH38" s="1144"/>
      <c r="AI38" s="824">
        <v>1300000</v>
      </c>
      <c r="AJ38" s="824"/>
      <c r="AK38" s="1144"/>
      <c r="AL38" s="824">
        <v>1250000</v>
      </c>
      <c r="AM38" s="824"/>
      <c r="AN38" s="1144"/>
      <c r="AO38" s="48">
        <f t="shared" si="0"/>
        <v>5000000</v>
      </c>
      <c r="AP38" s="15">
        <f>1022/4</f>
        <v>255.5</v>
      </c>
    </row>
    <row r="39" spans="1:42" ht="17.25" customHeight="1" x14ac:dyDescent="0.3">
      <c r="A39" s="271"/>
      <c r="B39" s="25"/>
      <c r="C39" s="25"/>
      <c r="D39" s="25"/>
      <c r="E39" s="25"/>
      <c r="F39" s="25"/>
      <c r="G39" s="25"/>
      <c r="H39" s="25"/>
      <c r="I39" s="25"/>
      <c r="J39" s="25"/>
      <c r="K39" s="24" t="s">
        <v>283</v>
      </c>
      <c r="L39" s="60"/>
      <c r="M39" s="57"/>
      <c r="N39" s="57"/>
      <c r="O39" s="57"/>
      <c r="P39" s="60"/>
      <c r="Q39" s="57"/>
      <c r="R39" s="1131">
        <v>1</v>
      </c>
      <c r="S39" s="1132"/>
      <c r="T39" s="1131" t="s">
        <v>180</v>
      </c>
      <c r="U39" s="1132"/>
      <c r="V39" s="1167">
        <v>750000</v>
      </c>
      <c r="W39" s="1168"/>
      <c r="X39" s="1169"/>
      <c r="Y39" s="870">
        <f>V39*R39</f>
        <v>750000</v>
      </c>
      <c r="Z39" s="871"/>
      <c r="AA39" s="930"/>
      <c r="AB39" s="138"/>
      <c r="AC39" s="824">
        <v>200000</v>
      </c>
      <c r="AD39" s="824"/>
      <c r="AE39" s="1144"/>
      <c r="AF39" s="824">
        <v>200000</v>
      </c>
      <c r="AG39" s="824"/>
      <c r="AH39" s="1144"/>
      <c r="AI39" s="824">
        <v>200000</v>
      </c>
      <c r="AJ39" s="824"/>
      <c r="AK39" s="1144"/>
      <c r="AL39" s="824">
        <v>150000</v>
      </c>
      <c r="AM39" s="824"/>
      <c r="AN39" s="1144"/>
      <c r="AO39" s="48">
        <f t="shared" si="0"/>
        <v>750000</v>
      </c>
    </row>
    <row r="40" spans="1:42" ht="17.25" customHeight="1" x14ac:dyDescent="0.3">
      <c r="A40" s="271" t="s">
        <v>80</v>
      </c>
      <c r="B40" s="25" t="s">
        <v>80</v>
      </c>
      <c r="C40" s="25" t="s">
        <v>78</v>
      </c>
      <c r="D40" s="25" t="s">
        <v>50</v>
      </c>
      <c r="E40" s="25" t="s">
        <v>99</v>
      </c>
      <c r="F40" s="25" t="s">
        <v>40</v>
      </c>
      <c r="G40" s="25" t="s">
        <v>41</v>
      </c>
      <c r="H40" s="25" t="s">
        <v>41</v>
      </c>
      <c r="I40" s="25" t="s">
        <v>43</v>
      </c>
      <c r="J40" s="25" t="s">
        <v>43</v>
      </c>
      <c r="K40" s="24" t="s">
        <v>77</v>
      </c>
      <c r="L40" s="60"/>
      <c r="M40" s="57"/>
      <c r="N40" s="57"/>
      <c r="O40" s="57"/>
      <c r="P40" s="60"/>
      <c r="Q40" s="57"/>
      <c r="R40" s="140"/>
      <c r="S40" s="141"/>
      <c r="T40" s="140"/>
      <c r="U40" s="142"/>
      <c r="V40" s="143"/>
      <c r="W40" s="144"/>
      <c r="X40" s="145"/>
      <c r="Y40" s="832">
        <f>SUM(Y41:AA42)</f>
        <v>2250000</v>
      </c>
      <c r="Z40" s="833"/>
      <c r="AA40" s="966"/>
      <c r="AB40" s="138"/>
      <c r="AC40" s="917">
        <f>SUM(AC41:AE42)</f>
        <v>250000</v>
      </c>
      <c r="AD40" s="918"/>
      <c r="AE40" s="1170"/>
      <c r="AF40" s="917">
        <f>SUM(AF41:AH42)</f>
        <v>250000</v>
      </c>
      <c r="AG40" s="918"/>
      <c r="AH40" s="1170"/>
      <c r="AI40" s="917">
        <f>SUM(AI41:AK42)</f>
        <v>1500000</v>
      </c>
      <c r="AJ40" s="918"/>
      <c r="AK40" s="1170"/>
      <c r="AL40" s="917">
        <f>SUM(AL41:AN42)</f>
        <v>250000</v>
      </c>
      <c r="AM40" s="918"/>
      <c r="AN40" s="1170"/>
      <c r="AO40" s="103">
        <f t="shared" si="0"/>
        <v>2250000</v>
      </c>
    </row>
    <row r="41" spans="1:42" ht="17.25" customHeight="1" x14ac:dyDescent="0.3">
      <c r="A41" s="271"/>
      <c r="B41" s="25"/>
      <c r="C41" s="25"/>
      <c r="D41" s="25"/>
      <c r="E41" s="25"/>
      <c r="F41" s="25"/>
      <c r="G41" s="25"/>
      <c r="H41" s="25"/>
      <c r="I41" s="25"/>
      <c r="J41" s="25"/>
      <c r="K41" s="24" t="s">
        <v>422</v>
      </c>
      <c r="L41" s="60"/>
      <c r="M41" s="57"/>
      <c r="N41" s="57"/>
      <c r="O41" s="57"/>
      <c r="P41" s="60"/>
      <c r="Q41" s="57"/>
      <c r="R41" s="983">
        <v>1</v>
      </c>
      <c r="S41" s="984"/>
      <c r="T41" s="983" t="s">
        <v>180</v>
      </c>
      <c r="U41" s="984"/>
      <c r="V41" s="1173">
        <v>1250000</v>
      </c>
      <c r="W41" s="1174"/>
      <c r="X41" s="1175"/>
      <c r="Y41" s="832">
        <f>V41*R41</f>
        <v>1250000</v>
      </c>
      <c r="Z41" s="833"/>
      <c r="AA41" s="966"/>
      <c r="AB41" s="138"/>
      <c r="AC41" s="824"/>
      <c r="AD41" s="824"/>
      <c r="AE41" s="1144"/>
      <c r="AF41" s="824">
        <v>0</v>
      </c>
      <c r="AG41" s="824"/>
      <c r="AH41" s="1144"/>
      <c r="AI41" s="824">
        <v>1250000</v>
      </c>
      <c r="AJ41" s="824"/>
      <c r="AK41" s="1144"/>
      <c r="AL41" s="824"/>
      <c r="AM41" s="824"/>
      <c r="AN41" s="1144"/>
      <c r="AO41" s="48">
        <f t="shared" si="0"/>
        <v>1250000</v>
      </c>
    </row>
    <row r="42" spans="1:42" ht="17.25" customHeight="1" x14ac:dyDescent="0.3">
      <c r="A42" s="275"/>
      <c r="B42" s="85"/>
      <c r="C42" s="85"/>
      <c r="D42" s="85"/>
      <c r="E42" s="85"/>
      <c r="F42" s="85"/>
      <c r="G42" s="85"/>
      <c r="H42" s="85"/>
      <c r="I42" s="85"/>
      <c r="J42" s="85"/>
      <c r="K42" s="87" t="s">
        <v>423</v>
      </c>
      <c r="L42" s="93"/>
      <c r="M42" s="94"/>
      <c r="N42" s="94"/>
      <c r="O42" s="94"/>
      <c r="P42" s="93"/>
      <c r="Q42" s="94"/>
      <c r="R42" s="1065">
        <v>1</v>
      </c>
      <c r="S42" s="1066"/>
      <c r="T42" s="1065" t="s">
        <v>180</v>
      </c>
      <c r="U42" s="1066"/>
      <c r="V42" s="1098">
        <v>1000000</v>
      </c>
      <c r="W42" s="1099"/>
      <c r="X42" s="1100"/>
      <c r="Y42" s="1088">
        <f>SUM(V42*R42)</f>
        <v>1000000</v>
      </c>
      <c r="Z42" s="1089"/>
      <c r="AA42" s="1090"/>
      <c r="AB42" s="138"/>
      <c r="AC42" s="824">
        <v>250000</v>
      </c>
      <c r="AD42" s="824"/>
      <c r="AE42" s="1144"/>
      <c r="AF42" s="824">
        <v>250000</v>
      </c>
      <c r="AG42" s="824"/>
      <c r="AH42" s="1144"/>
      <c r="AI42" s="824">
        <v>250000</v>
      </c>
      <c r="AJ42" s="824"/>
      <c r="AK42" s="1144"/>
      <c r="AL42" s="824">
        <v>250000</v>
      </c>
      <c r="AM42" s="824"/>
      <c r="AN42" s="1144"/>
      <c r="AO42" s="48">
        <f t="shared" si="0"/>
        <v>1000000</v>
      </c>
    </row>
    <row r="43" spans="1:42" ht="18.75" customHeight="1" x14ac:dyDescent="0.2">
      <c r="A43" s="276"/>
      <c r="B43" s="42"/>
      <c r="C43" s="42"/>
      <c r="D43" s="42"/>
      <c r="E43" s="42"/>
      <c r="F43" s="42"/>
      <c r="G43" s="42"/>
      <c r="H43" s="42"/>
      <c r="I43" s="42"/>
      <c r="J43" s="42"/>
      <c r="K43" s="49"/>
      <c r="L43" s="49"/>
      <c r="M43" s="49"/>
      <c r="N43" s="49"/>
      <c r="O43" s="49"/>
      <c r="P43" s="49"/>
      <c r="Q43" s="49"/>
      <c r="R43" s="1120"/>
      <c r="S43" s="1120"/>
      <c r="T43" s="1119"/>
      <c r="U43" s="1119"/>
      <c r="V43" s="1112" t="s">
        <v>28</v>
      </c>
      <c r="W43" s="1112"/>
      <c r="X43" s="1113"/>
      <c r="Y43" s="1122">
        <f>Y25</f>
        <v>45000000</v>
      </c>
      <c r="Z43" s="1123"/>
      <c r="AA43" s="1124"/>
      <c r="AB43" s="138"/>
      <c r="AC43" s="830">
        <f>SUM(AC40+AC32+AC29+AC26)</f>
        <v>10600000</v>
      </c>
      <c r="AD43" s="830"/>
      <c r="AE43" s="1164"/>
      <c r="AF43" s="1177">
        <f>SUM(AF40+AF32+AF29+AF26)</f>
        <v>11250000</v>
      </c>
      <c r="AG43" s="1177"/>
      <c r="AH43" s="1178"/>
      <c r="AI43" s="830">
        <f>SUM(AI40+AI32+AI29+AI26)</f>
        <v>13500000</v>
      </c>
      <c r="AJ43" s="830"/>
      <c r="AK43" s="1164"/>
      <c r="AL43" s="830">
        <f>SUM(AL40+AL32+AL29+AL26)</f>
        <v>9650000</v>
      </c>
      <c r="AM43" s="830"/>
      <c r="AN43" s="1164"/>
      <c r="AO43" s="103">
        <f>SUM(AC43:AN43)</f>
        <v>45000000</v>
      </c>
    </row>
    <row r="44" spans="1:42" ht="16.5" customHeight="1" x14ac:dyDescent="0.2">
      <c r="A44" s="277"/>
      <c r="B44" s="16" t="s">
        <v>306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67"/>
      <c r="AB44" s="138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2" ht="18.75" customHeight="1" x14ac:dyDescent="0.2">
      <c r="A45" s="278"/>
      <c r="B45" s="13" t="s">
        <v>29</v>
      </c>
      <c r="C45" s="27"/>
      <c r="D45" s="13"/>
      <c r="E45" s="13"/>
      <c r="F45" s="75" t="s">
        <v>89</v>
      </c>
      <c r="G45" s="1163">
        <f>AC43</f>
        <v>10600000</v>
      </c>
      <c r="H45" s="1163"/>
      <c r="I45" s="1163"/>
      <c r="J45" s="1163"/>
      <c r="K45" s="9"/>
      <c r="L45" s="9"/>
      <c r="M45" s="9"/>
      <c r="N45" s="9"/>
      <c r="O45" s="129"/>
      <c r="P45" s="28"/>
      <c r="Q45" s="28"/>
      <c r="R45" s="28"/>
      <c r="S45" s="28"/>
      <c r="T45" s="28"/>
      <c r="U45" s="679" t="str">
        <f>Ged.K!U41</f>
        <v>CAMAT SUKOHARJO</v>
      </c>
      <c r="V45" s="13"/>
      <c r="W45" s="679"/>
      <c r="X45" s="13"/>
      <c r="Y45" s="13"/>
      <c r="Z45" s="13"/>
      <c r="AA45" s="279"/>
      <c r="AB45" s="138"/>
    </row>
    <row r="46" spans="1:42" ht="20.25" customHeight="1" x14ac:dyDescent="0.2">
      <c r="A46" s="278"/>
      <c r="B46" s="13" t="s">
        <v>30</v>
      </c>
      <c r="C46" s="27"/>
      <c r="D46" s="13"/>
      <c r="E46" s="13"/>
      <c r="F46" s="40" t="s">
        <v>89</v>
      </c>
      <c r="G46" s="878">
        <f>AF43</f>
        <v>11250000</v>
      </c>
      <c r="H46" s="878"/>
      <c r="I46" s="878"/>
      <c r="J46" s="878"/>
      <c r="K46" s="13"/>
      <c r="L46" s="13"/>
      <c r="M46" s="13"/>
      <c r="N46" s="13"/>
      <c r="O46" s="28"/>
      <c r="P46" s="28"/>
      <c r="Q46" s="28"/>
      <c r="R46" s="28"/>
      <c r="S46" s="28"/>
      <c r="T46" s="28"/>
      <c r="U46" s="679"/>
      <c r="V46" s="13"/>
      <c r="W46" s="679"/>
      <c r="X46" s="13"/>
      <c r="Y46" s="13"/>
      <c r="Z46" s="13"/>
      <c r="AA46" s="279"/>
      <c r="AB46" s="138"/>
      <c r="AG46" s="801"/>
      <c r="AH46" s="801"/>
    </row>
    <row r="47" spans="1:42" ht="17.25" customHeight="1" x14ac:dyDescent="0.2">
      <c r="A47" s="278"/>
      <c r="B47" s="13" t="s">
        <v>31</v>
      </c>
      <c r="C47" s="27"/>
      <c r="D47" s="13"/>
      <c r="E47" s="13"/>
      <c r="F47" s="40" t="s">
        <v>89</v>
      </c>
      <c r="G47" s="878">
        <f>AI43</f>
        <v>13500000</v>
      </c>
      <c r="H47" s="878"/>
      <c r="I47" s="878"/>
      <c r="J47" s="878"/>
      <c r="K47" s="13"/>
      <c r="L47" s="13"/>
      <c r="M47" s="13"/>
      <c r="N47" s="13"/>
      <c r="O47" s="28"/>
      <c r="P47" s="28"/>
      <c r="Q47" s="28"/>
      <c r="R47" s="28"/>
      <c r="S47" s="28"/>
      <c r="T47" s="28"/>
      <c r="U47" s="679"/>
      <c r="V47" s="13"/>
      <c r="W47" s="52"/>
      <c r="X47" s="13"/>
      <c r="Y47" s="13"/>
      <c r="Z47" s="13"/>
      <c r="AA47" s="279"/>
      <c r="AD47" s="48"/>
      <c r="AG47" s="48"/>
      <c r="AJ47" s="48"/>
      <c r="AM47" s="48"/>
    </row>
    <row r="48" spans="1:42" ht="14.25" customHeight="1" x14ac:dyDescent="0.2">
      <c r="A48" s="278"/>
      <c r="B48" s="13" t="s">
        <v>32</v>
      </c>
      <c r="C48" s="30"/>
      <c r="D48" s="29"/>
      <c r="E48" s="13"/>
      <c r="F48" s="40" t="s">
        <v>89</v>
      </c>
      <c r="G48" s="965">
        <f>AL43</f>
        <v>9650000</v>
      </c>
      <c r="H48" s="965"/>
      <c r="I48" s="965"/>
      <c r="J48" s="965"/>
      <c r="K48" s="13"/>
      <c r="L48" s="13"/>
      <c r="M48" s="13"/>
      <c r="N48" s="13"/>
      <c r="O48" s="31"/>
      <c r="P48" s="31"/>
      <c r="Q48" s="31"/>
      <c r="R48" s="31"/>
      <c r="S48" s="31"/>
      <c r="T48" s="31"/>
      <c r="U48" s="679"/>
      <c r="V48" s="13"/>
      <c r="W48" s="679"/>
      <c r="X48" s="13"/>
      <c r="Y48" s="13"/>
      <c r="Z48" s="13"/>
      <c r="AA48" s="279"/>
    </row>
    <row r="49" spans="1:38" ht="14.25" customHeight="1" thickBot="1" x14ac:dyDescent="0.25">
      <c r="A49" s="278"/>
      <c r="B49" s="13"/>
      <c r="C49" s="30"/>
      <c r="D49" s="29"/>
      <c r="E49" s="13"/>
      <c r="F49" s="40" t="s">
        <v>89</v>
      </c>
      <c r="G49" s="1161">
        <f>SUM(G45:J48)</f>
        <v>45000000</v>
      </c>
      <c r="H49" s="1161"/>
      <c r="I49" s="1161"/>
      <c r="J49" s="1161"/>
      <c r="K49" s="13"/>
      <c r="L49" s="13"/>
      <c r="M49" s="13"/>
      <c r="N49" s="13"/>
      <c r="O49" s="31"/>
      <c r="P49" s="31"/>
      <c r="Q49" s="31"/>
      <c r="R49" s="31"/>
      <c r="S49" s="31"/>
      <c r="T49" s="31"/>
      <c r="U49" s="52" t="str">
        <f>Ged.K!U45</f>
        <v>DUDI WARDOYO, AP, M.M</v>
      </c>
      <c r="V49" s="13"/>
      <c r="W49" s="679"/>
      <c r="X49" s="13"/>
      <c r="Y49" s="13"/>
      <c r="Z49" s="13"/>
      <c r="AA49" s="279"/>
    </row>
    <row r="50" spans="1:38" ht="14.25" customHeight="1" thickTop="1" x14ac:dyDescent="0.2">
      <c r="A50" s="278"/>
      <c r="B50" s="13"/>
      <c r="C50" s="30"/>
      <c r="D50" s="29"/>
      <c r="E50" s="13"/>
      <c r="F50" s="40"/>
      <c r="G50" s="684"/>
      <c r="H50" s="684"/>
      <c r="I50" s="684"/>
      <c r="J50" s="684"/>
      <c r="K50" s="13"/>
      <c r="L50" s="13"/>
      <c r="M50" s="13"/>
      <c r="N50" s="13"/>
      <c r="O50" s="31"/>
      <c r="P50" s="31"/>
      <c r="Q50" s="31"/>
      <c r="R50" s="31"/>
      <c r="S50" s="31"/>
      <c r="T50" s="31"/>
      <c r="U50" s="679" t="str">
        <f>Ged.K!U46</f>
        <v>Pembina Tk. I</v>
      </c>
      <c r="V50" s="13"/>
      <c r="W50" s="679"/>
      <c r="X50" s="13"/>
      <c r="Y50" s="13"/>
      <c r="Z50" s="13"/>
      <c r="AA50" s="279"/>
    </row>
    <row r="51" spans="1:38" ht="15.75" customHeight="1" x14ac:dyDescent="0.2">
      <c r="A51" s="278"/>
      <c r="B51" s="13"/>
      <c r="C51" s="13"/>
      <c r="D51" s="62" t="s">
        <v>28</v>
      </c>
      <c r="E51" s="13"/>
      <c r="F51" s="42"/>
      <c r="G51" s="1162"/>
      <c r="H51" s="1162"/>
      <c r="I51" s="1162"/>
      <c r="J51" s="1162"/>
      <c r="K51" s="10"/>
      <c r="L51" s="10"/>
      <c r="M51" s="10"/>
      <c r="N51" s="10"/>
      <c r="O51" s="10"/>
      <c r="P51" s="13"/>
      <c r="Q51" s="13"/>
      <c r="R51" s="13"/>
      <c r="S51" s="13"/>
      <c r="T51" s="13"/>
      <c r="U51" s="679" t="str">
        <f>Ged.K!U47</f>
        <v>NIP. 19741009 199311 1 001</v>
      </c>
      <c r="V51" s="13"/>
      <c r="W51" s="679"/>
      <c r="X51" s="13"/>
      <c r="Y51" s="34"/>
      <c r="Z51" s="34"/>
      <c r="AA51" s="280"/>
    </row>
    <row r="52" spans="1:38" s="138" customFormat="1" ht="18" customHeight="1" x14ac:dyDescent="0.2">
      <c r="A52" s="865" t="s">
        <v>194</v>
      </c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519"/>
      <c r="T52" s="520"/>
      <c r="U52" s="520"/>
      <c r="V52" s="520"/>
      <c r="W52" s="520"/>
      <c r="X52" s="520"/>
      <c r="Y52" s="520"/>
      <c r="Z52" s="520"/>
      <c r="AA52" s="521"/>
      <c r="AD52" s="136"/>
      <c r="AG52" s="136"/>
      <c r="AI52" s="136"/>
      <c r="AL52" s="136"/>
    </row>
    <row r="53" spans="1:38" s="138" customFormat="1" ht="3.75" hidden="1" customHeight="1" x14ac:dyDescent="0.2">
      <c r="A53" s="382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516"/>
      <c r="T53" s="151"/>
      <c r="U53" s="151"/>
      <c r="V53" s="151"/>
      <c r="W53" s="151"/>
      <c r="X53" s="151"/>
      <c r="Y53" s="151"/>
      <c r="Z53" s="151"/>
      <c r="AA53" s="518"/>
      <c r="AD53" s="136"/>
      <c r="AG53" s="136"/>
      <c r="AI53" s="136"/>
      <c r="AL53" s="136"/>
    </row>
    <row r="54" spans="1:38" ht="16.5" customHeight="1" x14ac:dyDescent="0.2">
      <c r="A54" s="27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2"/>
      <c r="T54" s="13"/>
      <c r="U54" s="13"/>
      <c r="V54" s="13"/>
      <c r="W54" s="679" t="str">
        <f>Ged.K!W50</f>
        <v>Wonosobo,        Januari 2019</v>
      </c>
      <c r="X54" s="13"/>
      <c r="Y54" s="13"/>
      <c r="Z54" s="13"/>
      <c r="AA54" s="279"/>
    </row>
    <row r="55" spans="1:38" ht="18.75" customHeight="1" x14ac:dyDescent="0.2">
      <c r="A55" s="283"/>
      <c r="B55" s="26" t="s">
        <v>34</v>
      </c>
      <c r="C55" s="13" t="str">
        <f>Ged.K!C52</f>
        <v>RIDWAN SETIA N, S.Kom</v>
      </c>
      <c r="D55" s="13"/>
      <c r="E55" s="13"/>
      <c r="F55" s="44"/>
      <c r="G55" s="13"/>
      <c r="H55" s="13"/>
      <c r="I55" s="13"/>
      <c r="J55" s="13"/>
      <c r="K55" s="64" t="s">
        <v>34</v>
      </c>
      <c r="L55" s="47" t="s">
        <v>196</v>
      </c>
      <c r="M55" s="47"/>
      <c r="N55" s="47"/>
      <c r="O55" s="13"/>
      <c r="P55" s="13"/>
      <c r="Q55" s="13"/>
      <c r="R55" s="47"/>
      <c r="S55" s="522"/>
      <c r="T55" s="47"/>
      <c r="U55" s="13"/>
      <c r="V55" s="13"/>
      <c r="W55" s="679" t="s">
        <v>33</v>
      </c>
      <c r="X55" s="13"/>
      <c r="Y55" s="13"/>
      <c r="Z55" s="13"/>
      <c r="AA55" s="279"/>
    </row>
    <row r="56" spans="1:38" ht="18.75" customHeight="1" x14ac:dyDescent="0.2">
      <c r="A56" s="283"/>
      <c r="B56" s="26"/>
      <c r="C56" s="13"/>
      <c r="D56" s="13"/>
      <c r="E56" s="13"/>
      <c r="F56" s="4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2"/>
      <c r="T56" s="13"/>
      <c r="U56" s="13"/>
      <c r="V56" s="13"/>
      <c r="W56" s="679" t="s">
        <v>85</v>
      </c>
      <c r="X56" s="13"/>
      <c r="Y56" s="13"/>
      <c r="Z56" s="13"/>
      <c r="AA56" s="279"/>
    </row>
    <row r="57" spans="1:38" ht="18.75" customHeight="1" x14ac:dyDescent="0.2">
      <c r="A57" s="283"/>
      <c r="B57" s="13"/>
      <c r="C57" s="13"/>
      <c r="D57" s="13"/>
      <c r="E57" s="13"/>
      <c r="F57" s="44"/>
      <c r="G57" s="13"/>
      <c r="H57" s="13"/>
      <c r="I57" s="13"/>
      <c r="J57" s="13"/>
      <c r="K57" s="47"/>
      <c r="L57" s="47"/>
      <c r="M57" s="13"/>
      <c r="N57" s="13"/>
      <c r="O57" s="13"/>
      <c r="P57" s="13"/>
      <c r="Q57" s="13"/>
      <c r="R57" s="47"/>
      <c r="S57" s="522"/>
      <c r="T57" s="47"/>
      <c r="U57" s="13"/>
      <c r="V57" s="13"/>
      <c r="W57" s="65"/>
      <c r="X57" s="13"/>
      <c r="Y57" s="13"/>
      <c r="Z57" s="13"/>
      <c r="AA57" s="279"/>
    </row>
    <row r="58" spans="1:38" ht="18.75" customHeight="1" x14ac:dyDescent="0.2">
      <c r="A58" s="278"/>
      <c r="B58" s="26" t="s">
        <v>35</v>
      </c>
      <c r="C58" s="13" t="str">
        <f>Ged.K!C55</f>
        <v>SABAR KHOIRI</v>
      </c>
      <c r="D58" s="44"/>
      <c r="E58" s="44"/>
      <c r="F58" s="13"/>
      <c r="G58" s="13"/>
      <c r="H58" s="13"/>
      <c r="I58" s="13"/>
      <c r="J58" s="13"/>
      <c r="K58" s="64" t="s">
        <v>35</v>
      </c>
      <c r="L58" s="47" t="s">
        <v>294</v>
      </c>
      <c r="M58" s="44"/>
      <c r="N58" s="44"/>
      <c r="O58" s="13"/>
      <c r="P58" s="13"/>
      <c r="Q58" s="13"/>
      <c r="R58" s="44"/>
      <c r="S58" s="46"/>
      <c r="T58" s="44"/>
      <c r="U58" s="44"/>
      <c r="V58" s="44"/>
      <c r="W58" s="679"/>
      <c r="X58" s="44"/>
      <c r="Y58" s="44"/>
      <c r="Z58" s="44"/>
      <c r="AA58" s="284"/>
    </row>
    <row r="59" spans="1:38" s="33" customFormat="1" ht="12.75" customHeight="1" x14ac:dyDescent="0.2">
      <c r="A59" s="285"/>
      <c r="B59" s="26"/>
      <c r="C59" s="678"/>
      <c r="D59" s="13"/>
      <c r="E59" s="13"/>
      <c r="F59" s="679"/>
      <c r="G59" s="679"/>
      <c r="H59" s="679"/>
      <c r="I59" s="679"/>
      <c r="J59" s="679"/>
      <c r="K59" s="64"/>
      <c r="L59" s="47"/>
      <c r="M59" s="679"/>
      <c r="N59" s="679"/>
      <c r="O59" s="679"/>
      <c r="P59" s="679"/>
      <c r="Q59" s="679"/>
      <c r="R59" s="679"/>
      <c r="S59" s="36"/>
      <c r="T59" s="679"/>
      <c r="U59" s="66"/>
      <c r="V59" s="66"/>
      <c r="W59" s="52" t="str">
        <f>Ged.K!W56</f>
        <v>Drs. M. KRISTIJADI, M.Si</v>
      </c>
      <c r="X59" s="66"/>
      <c r="Y59" s="66"/>
      <c r="Z59" s="13"/>
      <c r="AA59" s="279"/>
    </row>
    <row r="60" spans="1:38" s="33" customFormat="1" ht="12.75" customHeight="1" x14ac:dyDescent="0.2">
      <c r="A60" s="285"/>
      <c r="B60" s="26"/>
      <c r="C60" s="13"/>
      <c r="D60" s="13"/>
      <c r="E60" s="13"/>
      <c r="F60" s="679"/>
      <c r="G60" s="679"/>
      <c r="H60" s="679"/>
      <c r="I60" s="64"/>
      <c r="J60" s="47"/>
      <c r="K60" s="679"/>
      <c r="L60" s="679"/>
      <c r="M60" s="679"/>
      <c r="N60" s="679"/>
      <c r="O60" s="679"/>
      <c r="P60" s="679"/>
      <c r="Q60" s="679"/>
      <c r="R60" s="679"/>
      <c r="S60" s="36"/>
      <c r="T60" s="679"/>
      <c r="U60" s="66"/>
      <c r="V60" s="66"/>
      <c r="W60" s="679" t="str">
        <f>Ged.K!W57</f>
        <v>Pembina Utama Muda</v>
      </c>
      <c r="X60" s="66"/>
      <c r="Y60" s="66"/>
      <c r="Z60" s="13"/>
      <c r="AA60" s="279"/>
    </row>
    <row r="61" spans="1:38" s="33" customFormat="1" ht="18.75" customHeight="1" thickBot="1" x14ac:dyDescent="0.25">
      <c r="A61" s="293"/>
      <c r="B61" s="289"/>
      <c r="C61" s="289"/>
      <c r="D61" s="289"/>
      <c r="E61" s="289"/>
      <c r="F61" s="289"/>
      <c r="G61" s="294"/>
      <c r="H61" s="288"/>
      <c r="I61" s="288"/>
      <c r="J61" s="288"/>
      <c r="K61" s="289"/>
      <c r="L61" s="289"/>
      <c r="M61" s="289"/>
      <c r="N61" s="295"/>
      <c r="O61" s="296"/>
      <c r="P61" s="289"/>
      <c r="Q61" s="289"/>
      <c r="R61" s="289"/>
      <c r="S61" s="523"/>
      <c r="T61" s="289"/>
      <c r="U61" s="297"/>
      <c r="V61" s="297"/>
      <c r="W61" s="289" t="str">
        <f>Ged.K!W58</f>
        <v>NIP. 19681226 199403 1 005</v>
      </c>
      <c r="X61" s="297"/>
      <c r="Y61" s="297"/>
      <c r="Z61" s="288"/>
      <c r="AA61" s="290"/>
    </row>
    <row r="62" spans="1:38" ht="17.25" thickTop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38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</sheetData>
  <mergeCells count="174">
    <mergeCell ref="AF42:AH42"/>
    <mergeCell ref="AI42:AK42"/>
    <mergeCell ref="AF40:AH40"/>
    <mergeCell ref="AI40:AK40"/>
    <mergeCell ref="Y42:AA42"/>
    <mergeCell ref="AI25:AK25"/>
    <mergeCell ref="AI26:AK26"/>
    <mergeCell ref="AI27:AK27"/>
    <mergeCell ref="AI28:AK28"/>
    <mergeCell ref="Y40:AA40"/>
    <mergeCell ref="Y36:AA36"/>
    <mergeCell ref="Y37:AA37"/>
    <mergeCell ref="Y28:AA28"/>
    <mergeCell ref="Y39:AA39"/>
    <mergeCell ref="Y38:AA38"/>
    <mergeCell ref="AC32:AE32"/>
    <mergeCell ref="AC29:AE29"/>
    <mergeCell ref="Y29:AA29"/>
    <mergeCell ref="Y41:AA41"/>
    <mergeCell ref="AC37:AE37"/>
    <mergeCell ref="AC42:AE42"/>
    <mergeCell ref="Y26:AA26"/>
    <mergeCell ref="Y25:AA25"/>
    <mergeCell ref="AC39:AE39"/>
    <mergeCell ref="AL42:AN42"/>
    <mergeCell ref="AF43:AH43"/>
    <mergeCell ref="AI43:AK43"/>
    <mergeCell ref="AL43:AN43"/>
    <mergeCell ref="AL40:AN40"/>
    <mergeCell ref="AF41:AH41"/>
    <mergeCell ref="AI41:AK41"/>
    <mergeCell ref="AL34:AN34"/>
    <mergeCell ref="AL35:AN35"/>
    <mergeCell ref="AF34:AH34"/>
    <mergeCell ref="AF35:AH35"/>
    <mergeCell ref="AF36:AH36"/>
    <mergeCell ref="AI36:AK36"/>
    <mergeCell ref="AL36:AN36"/>
    <mergeCell ref="AF37:AH37"/>
    <mergeCell ref="AI37:AK37"/>
    <mergeCell ref="AL41:AN41"/>
    <mergeCell ref="AL38:AN38"/>
    <mergeCell ref="AF39:AH39"/>
    <mergeCell ref="AI39:AK39"/>
    <mergeCell ref="AL39:AN39"/>
    <mergeCell ref="AF38:AH38"/>
    <mergeCell ref="AI38:AK38"/>
    <mergeCell ref="AL37:AN37"/>
    <mergeCell ref="AL25:AN25"/>
    <mergeCell ref="AL26:AN26"/>
    <mergeCell ref="AL27:AN27"/>
    <mergeCell ref="AL28:AN28"/>
    <mergeCell ref="AI29:AK29"/>
    <mergeCell ref="AI30:AK30"/>
    <mergeCell ref="AC30:AE30"/>
    <mergeCell ref="AC31:AE31"/>
    <mergeCell ref="AL29:AN29"/>
    <mergeCell ref="AL30:AN30"/>
    <mergeCell ref="AL31:AN31"/>
    <mergeCell ref="AC27:AE27"/>
    <mergeCell ref="AC28:AE28"/>
    <mergeCell ref="AF25:AH25"/>
    <mergeCell ref="AF26:AH26"/>
    <mergeCell ref="AF27:AH27"/>
    <mergeCell ref="AF28:AH28"/>
    <mergeCell ref="AC25:AE25"/>
    <mergeCell ref="AC26:AE26"/>
    <mergeCell ref="AL32:AN32"/>
    <mergeCell ref="AI31:AK31"/>
    <mergeCell ref="R35:S35"/>
    <mergeCell ref="AF29:AH29"/>
    <mergeCell ref="AF30:AH30"/>
    <mergeCell ref="AF31:AH31"/>
    <mergeCell ref="AF32:AH32"/>
    <mergeCell ref="Y32:AA32"/>
    <mergeCell ref="Y34:AA34"/>
    <mergeCell ref="Y35:AA35"/>
    <mergeCell ref="Y30:AA30"/>
    <mergeCell ref="Y31:AA31"/>
    <mergeCell ref="T32:U32"/>
    <mergeCell ref="V32:X32"/>
    <mergeCell ref="AI32:AK32"/>
    <mergeCell ref="AI34:AK34"/>
    <mergeCell ref="AI35:AK35"/>
    <mergeCell ref="AC34:AE34"/>
    <mergeCell ref="AC35:AE35"/>
    <mergeCell ref="AC40:AE40"/>
    <mergeCell ref="V43:X43"/>
    <mergeCell ref="R36:S36"/>
    <mergeCell ref="AC36:AE36"/>
    <mergeCell ref="V39:X39"/>
    <mergeCell ref="R41:S41"/>
    <mergeCell ref="T41:U41"/>
    <mergeCell ref="V41:X41"/>
    <mergeCell ref="R39:S39"/>
    <mergeCell ref="T39:U39"/>
    <mergeCell ref="T24:U24"/>
    <mergeCell ref="Y24:AA24"/>
    <mergeCell ref="R27:S27"/>
    <mergeCell ref="Y27:AA27"/>
    <mergeCell ref="V27:X27"/>
    <mergeCell ref="Y43:AA43"/>
    <mergeCell ref="V30:X30"/>
    <mergeCell ref="V35:X35"/>
    <mergeCell ref="V28:X28"/>
    <mergeCell ref="V36:X36"/>
    <mergeCell ref="V38:X38"/>
    <mergeCell ref="V42:X42"/>
    <mergeCell ref="R32:S32"/>
    <mergeCell ref="V24:X24"/>
    <mergeCell ref="R24:S24"/>
    <mergeCell ref="R28:S28"/>
    <mergeCell ref="V31:X31"/>
    <mergeCell ref="R31:S31"/>
    <mergeCell ref="T31:U31"/>
    <mergeCell ref="R25:S25"/>
    <mergeCell ref="T27:U27"/>
    <mergeCell ref="T30:U30"/>
    <mergeCell ref="R30:S30"/>
    <mergeCell ref="T28:U28"/>
    <mergeCell ref="Y23:AA23"/>
    <mergeCell ref="A19:AA19"/>
    <mergeCell ref="A20:AA20"/>
    <mergeCell ref="K23:Q23"/>
    <mergeCell ref="R21:X21"/>
    <mergeCell ref="R22:S22"/>
    <mergeCell ref="A23:J23"/>
    <mergeCell ref="R23:S23"/>
    <mergeCell ref="T23:U23"/>
    <mergeCell ref="V23:X23"/>
    <mergeCell ref="V22:X22"/>
    <mergeCell ref="A21:J22"/>
    <mergeCell ref="Y1:AA2"/>
    <mergeCell ref="R1:X1"/>
    <mergeCell ref="T22:U22"/>
    <mergeCell ref="Y15:AA15"/>
    <mergeCell ref="Y14:AA14"/>
    <mergeCell ref="Y13:AA13"/>
    <mergeCell ref="Y17:AA17"/>
    <mergeCell ref="Y16:AA16"/>
    <mergeCell ref="M5:AA5"/>
    <mergeCell ref="G13:X13"/>
    <mergeCell ref="A1:Q1"/>
    <mergeCell ref="A2:Q2"/>
    <mergeCell ref="A4:AA4"/>
    <mergeCell ref="A3:AA3"/>
    <mergeCell ref="K21:Q22"/>
    <mergeCell ref="Y21:AA22"/>
    <mergeCell ref="A12:AA12"/>
    <mergeCell ref="A13:F13"/>
    <mergeCell ref="A52:R52"/>
    <mergeCell ref="AG46:AH46"/>
    <mergeCell ref="T25:U25"/>
    <mergeCell ref="R26:S26"/>
    <mergeCell ref="V26:X26"/>
    <mergeCell ref="V25:X25"/>
    <mergeCell ref="T26:U26"/>
    <mergeCell ref="G49:J49"/>
    <mergeCell ref="G51:J51"/>
    <mergeCell ref="G48:J48"/>
    <mergeCell ref="G47:J47"/>
    <mergeCell ref="R43:S43"/>
    <mergeCell ref="G46:J46"/>
    <mergeCell ref="G45:J45"/>
    <mergeCell ref="AC43:AE43"/>
    <mergeCell ref="R42:S42"/>
    <mergeCell ref="T35:U35"/>
    <mergeCell ref="T36:U36"/>
    <mergeCell ref="T38:U38"/>
    <mergeCell ref="T42:U42"/>
    <mergeCell ref="R38:S38"/>
    <mergeCell ref="T43:U43"/>
    <mergeCell ref="AC41:AE41"/>
    <mergeCell ref="AC38:AE38"/>
  </mergeCells>
  <phoneticPr fontId="2" type="noConversion"/>
  <printOptions horizontalCentered="1"/>
  <pageMargins left="0.31496062992125984" right="0.15748031496062992" top="0.47244094488188981" bottom="1.3779527559055118" header="0" footer="0.51181102362204722"/>
  <pageSetup paperSize="5" scale="80" orientation="portrait" horizontalDpi="4294967293" r:id="rId1"/>
  <headerFooter alignWithMargins="0"/>
  <colBreaks count="1" manualBreakCount="1">
    <brk id="2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7"/>
  <sheetViews>
    <sheetView showGridLines="0" view="pageBreakPreview" topLeftCell="A32" workbookViewId="0">
      <selection activeCell="A40" sqref="A40:XFD40"/>
    </sheetView>
  </sheetViews>
  <sheetFormatPr defaultColWidth="4.42578125" defaultRowHeight="16.5" x14ac:dyDescent="0.2"/>
  <cols>
    <col min="1" max="10" width="3.7109375" style="15" customWidth="1"/>
    <col min="11" max="23" width="4.42578125" style="15" customWidth="1"/>
    <col min="24" max="24" width="3.42578125" style="15" customWidth="1"/>
    <col min="25" max="26" width="4.42578125" style="15" customWidth="1"/>
    <col min="27" max="27" width="3.42578125" style="15" customWidth="1"/>
    <col min="28" max="28" width="4.42578125" style="15" customWidth="1"/>
    <col min="29" max="29" width="6" style="15" customWidth="1"/>
    <col min="30" max="30" width="5.42578125" style="15" customWidth="1"/>
    <col min="31" max="39" width="5" style="15" customWidth="1"/>
    <col min="40" max="16384" width="4.42578125" style="15"/>
  </cols>
  <sheetData>
    <row r="1" spans="1:38" ht="24.7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8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02</v>
      </c>
      <c r="V2" s="56" t="str">
        <f>L8</f>
        <v>30</v>
      </c>
      <c r="W2" s="56" t="s">
        <v>40</v>
      </c>
      <c r="X2" s="56" t="s">
        <v>41</v>
      </c>
      <c r="Y2" s="777"/>
      <c r="Z2" s="778"/>
      <c r="AA2" s="779"/>
    </row>
    <row r="3" spans="1:38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8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8" ht="20.25" customHeight="1" x14ac:dyDescent="0.2">
      <c r="A5" s="266" t="s">
        <v>18</v>
      </c>
      <c r="B5" s="558"/>
      <c r="C5" s="558"/>
      <c r="D5" s="558"/>
      <c r="E5" s="558"/>
      <c r="F5" s="558"/>
      <c r="G5" s="14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8" ht="18.75" customHeight="1" x14ac:dyDescent="0.2">
      <c r="A6" s="266" t="s">
        <v>19</v>
      </c>
      <c r="B6" s="119"/>
      <c r="C6" s="119"/>
      <c r="D6" s="119"/>
      <c r="E6" s="119"/>
      <c r="F6" s="119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8" ht="18.75" customHeight="1" x14ac:dyDescent="0.2">
      <c r="A7" s="266" t="s">
        <v>20</v>
      </c>
      <c r="B7" s="119"/>
      <c r="C7" s="119"/>
      <c r="D7" s="119"/>
      <c r="E7" s="119"/>
      <c r="F7" s="119"/>
      <c r="G7" s="14" t="s">
        <v>89</v>
      </c>
      <c r="H7" s="61" t="s">
        <v>328</v>
      </c>
      <c r="I7" s="61"/>
      <c r="J7" s="61"/>
      <c r="K7" s="61" t="s">
        <v>50</v>
      </c>
      <c r="L7" s="61"/>
      <c r="M7" s="16" t="s">
        <v>181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8" ht="18.75" customHeight="1" x14ac:dyDescent="0.2">
      <c r="A8" s="268" t="s">
        <v>21</v>
      </c>
      <c r="B8" s="120"/>
      <c r="C8" s="120"/>
      <c r="D8" s="120"/>
      <c r="E8" s="120"/>
      <c r="F8" s="120"/>
      <c r="G8" s="14" t="s">
        <v>89</v>
      </c>
      <c r="H8" s="61" t="s">
        <v>328</v>
      </c>
      <c r="I8" s="61"/>
      <c r="J8" s="61"/>
      <c r="K8" s="61" t="s">
        <v>50</v>
      </c>
      <c r="L8" s="61" t="s">
        <v>100</v>
      </c>
      <c r="M8" s="16" t="s">
        <v>108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8" ht="18.75" customHeight="1" x14ac:dyDescent="0.2">
      <c r="A9" s="268" t="s">
        <v>22</v>
      </c>
      <c r="B9" s="120"/>
      <c r="C9" s="120"/>
      <c r="D9" s="120"/>
      <c r="E9" s="120"/>
      <c r="F9" s="120"/>
      <c r="G9" s="14" t="s">
        <v>89</v>
      </c>
      <c r="H9" s="18" t="s">
        <v>384</v>
      </c>
      <c r="I9" s="18"/>
      <c r="J9" s="18"/>
      <c r="K9" s="18"/>
      <c r="L9" s="18"/>
      <c r="M9" s="18"/>
      <c r="N9" s="18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8" ht="18.75" customHeight="1" x14ac:dyDescent="0.2">
      <c r="A10" s="268" t="s">
        <v>23</v>
      </c>
      <c r="B10" s="120"/>
      <c r="C10" s="120"/>
      <c r="D10" s="120"/>
      <c r="E10" s="120"/>
      <c r="F10" s="120"/>
      <c r="G10" s="14" t="s">
        <v>89</v>
      </c>
      <c r="H10" s="18" t="s">
        <v>178</v>
      </c>
      <c r="I10" s="20"/>
      <c r="J10" s="20"/>
      <c r="K10" s="20"/>
      <c r="L10" s="20"/>
      <c r="M10" s="20"/>
      <c r="N10" s="20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8" ht="18.75" customHeight="1" x14ac:dyDescent="0.2">
      <c r="A11" s="268" t="s">
        <v>24</v>
      </c>
      <c r="B11" s="120"/>
      <c r="C11" s="120"/>
      <c r="D11" s="120"/>
      <c r="E11" s="120"/>
      <c r="F11" s="120"/>
      <c r="G11" s="14" t="s">
        <v>89</v>
      </c>
      <c r="H11" s="18" t="s">
        <v>385</v>
      </c>
      <c r="I11" s="20"/>
      <c r="J11" s="20"/>
      <c r="K11" s="20"/>
      <c r="L11" s="20"/>
      <c r="M11" s="18"/>
      <c r="N11" s="18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8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F12" s="50"/>
      <c r="AH12" s="50"/>
      <c r="AJ12" s="50"/>
      <c r="AL12" s="50"/>
    </row>
    <row r="13" spans="1:38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8" ht="18.75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152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  <c r="AF14" s="50"/>
      <c r="AH14" s="50"/>
      <c r="AJ14" s="50"/>
      <c r="AL14" s="50"/>
    </row>
    <row r="15" spans="1:38" ht="18.75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3500000</v>
      </c>
      <c r="Z15" s="892"/>
      <c r="AA15" s="893"/>
      <c r="AD15" s="51"/>
      <c r="AF15" s="51"/>
      <c r="AH15" s="51"/>
      <c r="AJ15" s="51"/>
      <c r="AL15" s="51"/>
    </row>
    <row r="16" spans="1:38" ht="18.75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153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9" ht="18.75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153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  <c r="AF17" s="51"/>
      <c r="AH17" s="51"/>
      <c r="AJ17" s="51"/>
      <c r="AL17" s="51"/>
    </row>
    <row r="18" spans="1:39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F18" s="51"/>
      <c r="AH18" s="51"/>
      <c r="AJ18" s="51"/>
      <c r="AL18" s="51"/>
    </row>
    <row r="19" spans="1:39" ht="18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9" ht="18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F20" s="48"/>
      <c r="AH20" s="48"/>
      <c r="AJ20" s="48"/>
      <c r="AL20" s="48"/>
    </row>
    <row r="21" spans="1:39" ht="18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9" ht="18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9" ht="18.7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9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50</v>
      </c>
      <c r="E24" s="83" t="s">
        <v>100</v>
      </c>
      <c r="F24" s="83" t="s">
        <v>40</v>
      </c>
      <c r="G24" s="83" t="s">
        <v>41</v>
      </c>
      <c r="H24" s="83" t="s">
        <v>41</v>
      </c>
      <c r="I24" s="83"/>
      <c r="J24" s="83"/>
      <c r="K24" s="84" t="s">
        <v>86</v>
      </c>
      <c r="L24" s="104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3500000</v>
      </c>
      <c r="Z24" s="918"/>
      <c r="AA24" s="948"/>
    </row>
    <row r="25" spans="1:39" ht="18.75" customHeight="1" x14ac:dyDescent="0.2">
      <c r="A25" s="270" t="s">
        <v>323</v>
      </c>
      <c r="B25" s="23" t="s">
        <v>323</v>
      </c>
      <c r="C25" s="23" t="s">
        <v>277</v>
      </c>
      <c r="D25" s="23" t="s">
        <v>50</v>
      </c>
      <c r="E25" s="23" t="s">
        <v>100</v>
      </c>
      <c r="F25" s="23" t="s">
        <v>40</v>
      </c>
      <c r="G25" s="23" t="s">
        <v>41</v>
      </c>
      <c r="H25" s="23" t="s">
        <v>41</v>
      </c>
      <c r="I25" s="23" t="s">
        <v>42</v>
      </c>
      <c r="J25" s="23"/>
      <c r="K25" s="54" t="s">
        <v>37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3500000</v>
      </c>
      <c r="Z25" s="918"/>
      <c r="AA25" s="948"/>
      <c r="AC25" s="13"/>
      <c r="AE25" s="48"/>
      <c r="AF25" s="48"/>
      <c r="AG25" s="48"/>
    </row>
    <row r="26" spans="1:39" ht="18.75" customHeight="1" x14ac:dyDescent="0.2">
      <c r="A26" s="271" t="s">
        <v>323</v>
      </c>
      <c r="B26" s="25" t="s">
        <v>323</v>
      </c>
      <c r="C26" s="25" t="s">
        <v>277</v>
      </c>
      <c r="D26" s="25" t="s">
        <v>50</v>
      </c>
      <c r="E26" s="25" t="s">
        <v>100</v>
      </c>
      <c r="F26" s="25" t="s">
        <v>40</v>
      </c>
      <c r="G26" s="25" t="s">
        <v>41</v>
      </c>
      <c r="H26" s="25" t="s">
        <v>41</v>
      </c>
      <c r="I26" s="25" t="s">
        <v>42</v>
      </c>
      <c r="J26" s="25" t="s">
        <v>78</v>
      </c>
      <c r="K26" s="24" t="s">
        <v>255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SUM(Y28:AA30)</f>
        <v>3500000</v>
      </c>
      <c r="Z26" s="871"/>
      <c r="AA26" s="930"/>
      <c r="AB26" s="1179" t="s">
        <v>258</v>
      </c>
      <c r="AC26" s="1180"/>
      <c r="AD26" s="1180"/>
      <c r="AE26" s="48"/>
      <c r="AF26" s="48"/>
      <c r="AG26" s="48"/>
      <c r="AH26" s="48"/>
      <c r="AJ26" s="48"/>
      <c r="AL26" s="48"/>
    </row>
    <row r="27" spans="1:39" ht="18.75" customHeight="1" x14ac:dyDescent="0.2">
      <c r="A27" s="273"/>
      <c r="B27" s="74"/>
      <c r="C27" s="74"/>
      <c r="D27" s="74"/>
      <c r="E27" s="74"/>
      <c r="F27" s="25"/>
      <c r="G27" s="25"/>
      <c r="H27" s="25"/>
      <c r="I27" s="25"/>
      <c r="J27" s="25"/>
      <c r="K27" s="24" t="s">
        <v>256</v>
      </c>
      <c r="L27" s="57"/>
      <c r="M27" s="57"/>
      <c r="N27" s="57"/>
      <c r="O27" s="57"/>
      <c r="P27" s="57"/>
      <c r="Q27" s="57"/>
      <c r="R27" s="113"/>
      <c r="S27" s="114"/>
      <c r="T27" s="111"/>
      <c r="U27" s="112"/>
      <c r="V27" s="111"/>
      <c r="W27" s="118"/>
      <c r="X27" s="112"/>
      <c r="Y27" s="77"/>
      <c r="Z27" s="78"/>
      <c r="AA27" s="272"/>
      <c r="AC27" s="13"/>
      <c r="AE27" s="48"/>
      <c r="AF27" s="48"/>
      <c r="AG27" s="48"/>
      <c r="AH27" s="48"/>
      <c r="AJ27" s="48"/>
      <c r="AL27" s="48"/>
    </row>
    <row r="28" spans="1:39" ht="18.75" customHeight="1" x14ac:dyDescent="0.3">
      <c r="A28" s="273"/>
      <c r="B28" s="74"/>
      <c r="C28" s="74"/>
      <c r="D28" s="74"/>
      <c r="E28" s="74"/>
      <c r="F28" s="25"/>
      <c r="G28" s="25"/>
      <c r="H28" s="25"/>
      <c r="I28" s="25"/>
      <c r="J28" s="25"/>
      <c r="K28" s="133" t="s">
        <v>265</v>
      </c>
      <c r="L28" s="60"/>
      <c r="M28" s="57"/>
      <c r="N28" s="57"/>
      <c r="O28" s="57"/>
      <c r="P28" s="60"/>
      <c r="Q28" s="57"/>
      <c r="R28" s="944">
        <v>1</v>
      </c>
      <c r="S28" s="945"/>
      <c r="T28" s="928" t="s">
        <v>333</v>
      </c>
      <c r="U28" s="929"/>
      <c r="V28" s="1167">
        <v>2500000</v>
      </c>
      <c r="W28" s="1168"/>
      <c r="X28" s="1169"/>
      <c r="Y28" s="870">
        <f>V28*R28</f>
        <v>2500000</v>
      </c>
      <c r="Z28" s="871"/>
      <c r="AA28" s="930"/>
      <c r="AE28" s="800">
        <f>Y28/2</f>
        <v>1250000</v>
      </c>
      <c r="AF28" s="800"/>
      <c r="AG28" s="800"/>
      <c r="AH28" s="48"/>
      <c r="AI28" s="48"/>
      <c r="AJ28" s="48"/>
      <c r="AK28" s="48"/>
      <c r="AL28" s="48"/>
      <c r="AM28" s="48"/>
    </row>
    <row r="29" spans="1:39" ht="18.75" customHeight="1" x14ac:dyDescent="0.3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160" t="s">
        <v>273</v>
      </c>
      <c r="L29" s="60"/>
      <c r="M29" s="57"/>
      <c r="N29" s="57"/>
      <c r="O29" s="57"/>
      <c r="P29" s="60"/>
      <c r="Q29" s="57"/>
      <c r="R29" s="944"/>
      <c r="S29" s="945"/>
      <c r="T29" s="928"/>
      <c r="U29" s="929"/>
      <c r="V29" s="1167"/>
      <c r="W29" s="1168"/>
      <c r="X29" s="1169"/>
      <c r="Y29" s="870"/>
      <c r="Z29" s="871"/>
      <c r="AA29" s="930"/>
      <c r="AE29" s="800">
        <f>Y29/4</f>
        <v>0</v>
      </c>
      <c r="AF29" s="800"/>
      <c r="AG29" s="800"/>
      <c r="AH29" s="48"/>
      <c r="AI29" s="48"/>
      <c r="AJ29" s="48"/>
      <c r="AK29" s="48"/>
      <c r="AL29" s="48"/>
      <c r="AM29" s="48"/>
    </row>
    <row r="30" spans="1:39" ht="18.75" customHeight="1" x14ac:dyDescent="0.3">
      <c r="A30" s="274"/>
      <c r="B30" s="69"/>
      <c r="C30" s="69"/>
      <c r="D30" s="69"/>
      <c r="E30" s="69"/>
      <c r="F30" s="69"/>
      <c r="G30" s="69"/>
      <c r="H30" s="69"/>
      <c r="I30" s="69"/>
      <c r="J30" s="69"/>
      <c r="K30" s="133" t="s">
        <v>265</v>
      </c>
      <c r="L30" s="60"/>
      <c r="M30" s="57"/>
      <c r="N30" s="57"/>
      <c r="O30" s="57"/>
      <c r="P30" s="60"/>
      <c r="Q30" s="57"/>
      <c r="R30" s="873">
        <v>1</v>
      </c>
      <c r="S30" s="874"/>
      <c r="T30" s="928" t="s">
        <v>333</v>
      </c>
      <c r="U30" s="929"/>
      <c r="V30" s="1167">
        <v>1000000</v>
      </c>
      <c r="W30" s="1168"/>
      <c r="X30" s="1169"/>
      <c r="Y30" s="870">
        <f>V30*R30</f>
        <v>1000000</v>
      </c>
      <c r="Z30" s="871"/>
      <c r="AA30" s="930"/>
      <c r="AE30" s="67"/>
      <c r="AF30" s="67"/>
      <c r="AG30" s="67"/>
      <c r="AH30" s="48"/>
      <c r="AI30" s="48"/>
      <c r="AJ30" s="48"/>
      <c r="AK30" s="48"/>
      <c r="AL30" s="48"/>
      <c r="AM30" s="48"/>
    </row>
    <row r="31" spans="1:39" ht="18.75" customHeight="1" x14ac:dyDescent="0.3">
      <c r="A31" s="275"/>
      <c r="B31" s="85"/>
      <c r="C31" s="85"/>
      <c r="D31" s="85"/>
      <c r="E31" s="85"/>
      <c r="F31" s="85"/>
      <c r="G31" s="85"/>
      <c r="H31" s="85"/>
      <c r="I31" s="85"/>
      <c r="J31" s="85"/>
      <c r="K31" s="161" t="s">
        <v>274</v>
      </c>
      <c r="L31" s="57"/>
      <c r="M31" s="57"/>
      <c r="N31" s="57"/>
      <c r="O31" s="57"/>
      <c r="P31" s="57"/>
      <c r="Q31" s="57"/>
      <c r="R31" s="1129"/>
      <c r="S31" s="1130"/>
      <c r="T31" s="1129"/>
      <c r="U31" s="1130"/>
      <c r="V31" s="1138"/>
      <c r="W31" s="1139"/>
      <c r="X31" s="1140"/>
      <c r="Y31" s="1156"/>
      <c r="Z31" s="1157"/>
      <c r="AA31" s="1158"/>
      <c r="AC31" s="13"/>
      <c r="AE31" s="48"/>
      <c r="AF31" s="48"/>
      <c r="AG31" s="48"/>
      <c r="AH31" s="45"/>
      <c r="AI31" s="45"/>
      <c r="AJ31" s="45"/>
      <c r="AK31" s="45"/>
      <c r="AL31" s="45"/>
      <c r="AM31" s="45"/>
    </row>
    <row r="32" spans="1:39" ht="18.75" customHeight="1" x14ac:dyDescent="0.2">
      <c r="A32" s="276"/>
      <c r="B32" s="42"/>
      <c r="C32" s="42"/>
      <c r="D32" s="42"/>
      <c r="E32" s="42"/>
      <c r="F32" s="42"/>
      <c r="G32" s="42"/>
      <c r="H32" s="42"/>
      <c r="I32" s="42"/>
      <c r="J32" s="42"/>
      <c r="K32" s="49"/>
      <c r="L32" s="32"/>
      <c r="M32" s="32"/>
      <c r="N32" s="32"/>
      <c r="O32" s="32"/>
      <c r="P32" s="32"/>
      <c r="Q32" s="32"/>
      <c r="R32" s="1120"/>
      <c r="S32" s="1120"/>
      <c r="T32" s="1119"/>
      <c r="U32" s="1119"/>
      <c r="V32" s="1112" t="s">
        <v>28</v>
      </c>
      <c r="W32" s="1112"/>
      <c r="X32" s="1113"/>
      <c r="Y32" s="886">
        <f>SUM(Y28:AA31)</f>
        <v>3500000</v>
      </c>
      <c r="Z32" s="887"/>
      <c r="AA32" s="949"/>
      <c r="AC32" s="13"/>
      <c r="AD32" s="45"/>
      <c r="AE32" s="48"/>
      <c r="AF32" s="48"/>
      <c r="AG32" s="48"/>
      <c r="AH32" s="45"/>
      <c r="AI32" s="45"/>
      <c r="AJ32" s="45"/>
      <c r="AK32" s="45"/>
      <c r="AL32" s="45"/>
      <c r="AM32" s="45"/>
    </row>
    <row r="33" spans="1:39" ht="18.75" customHeight="1" x14ac:dyDescent="0.2">
      <c r="A33" s="277"/>
      <c r="B33" s="16" t="s">
        <v>306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67"/>
      <c r="AD33" s="48"/>
      <c r="AE33" s="48"/>
      <c r="AF33" s="48"/>
      <c r="AG33" s="48"/>
      <c r="AH33" s="48"/>
      <c r="AI33" s="48"/>
      <c r="AJ33" s="48"/>
      <c r="AK33" s="48"/>
      <c r="AL33" s="48"/>
      <c r="AM33" s="48"/>
    </row>
    <row r="34" spans="1:39" ht="18.75" customHeight="1" x14ac:dyDescent="0.2">
      <c r="A34" s="278"/>
      <c r="B34" s="13"/>
      <c r="C34" s="27"/>
      <c r="D34" s="13"/>
      <c r="E34" s="13"/>
      <c r="F34" s="13"/>
      <c r="G34" s="13"/>
      <c r="H34" s="27"/>
      <c r="I34" s="13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620" t="str">
        <f>Kend!U45</f>
        <v>CAMAT SUKOHARJO</v>
      </c>
      <c r="V34" s="13"/>
      <c r="W34" s="13"/>
      <c r="X34" s="35"/>
      <c r="Y34" s="13"/>
      <c r="Z34" s="13"/>
      <c r="AA34" s="279"/>
      <c r="AD34" s="48"/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ht="18.75" customHeight="1" x14ac:dyDescent="0.2">
      <c r="A35" s="278"/>
      <c r="B35" s="13" t="s">
        <v>29</v>
      </c>
      <c r="C35" s="27"/>
      <c r="D35" s="13"/>
      <c r="E35" s="13"/>
      <c r="F35" s="40" t="s">
        <v>89</v>
      </c>
      <c r="G35" s="878">
        <v>500000</v>
      </c>
      <c r="H35" s="878"/>
      <c r="I35" s="878"/>
      <c r="J35" s="878"/>
      <c r="K35" s="13"/>
      <c r="L35" s="13"/>
      <c r="M35" s="13"/>
      <c r="N35" s="13"/>
      <c r="O35" s="28"/>
      <c r="P35" s="28"/>
      <c r="Q35" s="28"/>
      <c r="R35" s="28"/>
      <c r="S35" s="28"/>
      <c r="T35" s="28"/>
      <c r="U35" s="620"/>
      <c r="V35" s="13"/>
      <c r="W35" s="35"/>
      <c r="X35" s="13"/>
      <c r="Y35" s="13"/>
      <c r="Z35" s="13"/>
      <c r="AA35" s="279"/>
    </row>
    <row r="36" spans="1:39" ht="18.75" customHeight="1" x14ac:dyDescent="0.2">
      <c r="A36" s="278"/>
      <c r="B36" s="13" t="s">
        <v>30</v>
      </c>
      <c r="C36" s="27"/>
      <c r="D36" s="13"/>
      <c r="E36" s="13"/>
      <c r="F36" s="40" t="s">
        <v>89</v>
      </c>
      <c r="G36" s="878">
        <v>1500000</v>
      </c>
      <c r="H36" s="878"/>
      <c r="I36" s="878"/>
      <c r="J36" s="878"/>
      <c r="K36" s="13"/>
      <c r="L36" s="13"/>
      <c r="M36" s="13"/>
      <c r="N36" s="13"/>
      <c r="O36" s="28"/>
      <c r="P36" s="28"/>
      <c r="Q36" s="28"/>
      <c r="R36" s="28"/>
      <c r="S36" s="28"/>
      <c r="T36" s="28"/>
      <c r="U36" s="620"/>
      <c r="V36" s="13"/>
      <c r="W36" s="35"/>
      <c r="X36" s="13"/>
      <c r="Y36" s="13"/>
      <c r="Z36" s="13"/>
      <c r="AA36" s="279"/>
    </row>
    <row r="37" spans="1:39" ht="18.75" customHeight="1" x14ac:dyDescent="0.2">
      <c r="A37" s="278"/>
      <c r="B37" s="13" t="s">
        <v>31</v>
      </c>
      <c r="C37" s="27"/>
      <c r="D37" s="13"/>
      <c r="E37" s="13"/>
      <c r="F37" s="40" t="s">
        <v>89</v>
      </c>
      <c r="G37" s="878">
        <v>1000000</v>
      </c>
      <c r="H37" s="878"/>
      <c r="I37" s="878"/>
      <c r="J37" s="878"/>
      <c r="K37" s="13"/>
      <c r="L37" s="13"/>
      <c r="M37" s="13"/>
      <c r="N37" s="13"/>
      <c r="O37" s="28"/>
      <c r="P37" s="28"/>
      <c r="Q37" s="28"/>
      <c r="R37" s="28"/>
      <c r="S37" s="28"/>
      <c r="T37" s="28"/>
      <c r="U37" s="620"/>
      <c r="V37" s="13"/>
      <c r="W37" s="35"/>
      <c r="X37" s="13"/>
      <c r="Y37" s="13"/>
      <c r="Z37" s="13"/>
      <c r="AA37" s="279"/>
      <c r="AF37" s="48"/>
    </row>
    <row r="38" spans="1:39" ht="18.75" customHeight="1" x14ac:dyDescent="0.2">
      <c r="A38" s="278"/>
      <c r="B38" s="13" t="s">
        <v>32</v>
      </c>
      <c r="C38" s="30"/>
      <c r="D38" s="29"/>
      <c r="E38" s="13"/>
      <c r="F38" s="40" t="s">
        <v>89</v>
      </c>
      <c r="G38" s="878">
        <v>500000</v>
      </c>
      <c r="H38" s="878"/>
      <c r="I38" s="878"/>
      <c r="J38" s="878"/>
      <c r="K38" s="13"/>
      <c r="L38" s="13"/>
      <c r="M38" s="13"/>
      <c r="N38" s="13"/>
      <c r="O38" s="31"/>
      <c r="P38" s="31"/>
      <c r="Q38" s="31"/>
      <c r="R38" s="31"/>
      <c r="S38" s="31"/>
      <c r="T38" s="31"/>
      <c r="U38" s="52" t="str">
        <f>Kend!U49</f>
        <v>DUDI WARDOYO, AP, M.M</v>
      </c>
      <c r="V38" s="13"/>
      <c r="W38" s="52"/>
      <c r="X38" s="13"/>
      <c r="Y38" s="13"/>
      <c r="Z38" s="13"/>
      <c r="AA38" s="279"/>
    </row>
    <row r="39" spans="1:39" ht="15" customHeight="1" thickBot="1" x14ac:dyDescent="0.25">
      <c r="A39" s="278"/>
      <c r="B39" s="13"/>
      <c r="C39" s="13"/>
      <c r="D39" s="62" t="s">
        <v>28</v>
      </c>
      <c r="E39" s="13"/>
      <c r="F39" s="40" t="s">
        <v>89</v>
      </c>
      <c r="G39" s="877">
        <f>SUM(G35:J38)</f>
        <v>3500000</v>
      </c>
      <c r="H39" s="877"/>
      <c r="I39" s="877"/>
      <c r="J39" s="87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620" t="str">
        <f>Kend!U50</f>
        <v>Pembina Tk. I</v>
      </c>
      <c r="V39" s="13"/>
      <c r="W39" s="35"/>
      <c r="X39" s="13"/>
      <c r="Y39" s="34"/>
      <c r="Z39" s="34"/>
      <c r="AA39" s="280"/>
    </row>
    <row r="40" spans="1:39" ht="12" customHeight="1" thickTop="1" x14ac:dyDescent="0.2">
      <c r="A40" s="28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620" t="str">
        <f>Kend!U51</f>
        <v>NIP. 19741009 199311 1 001</v>
      </c>
      <c r="V40" s="10"/>
      <c r="W40" s="35"/>
      <c r="X40" s="10"/>
      <c r="Y40" s="10"/>
      <c r="Z40" s="10"/>
      <c r="AA40" s="282"/>
    </row>
    <row r="41" spans="1:39" s="138" customFormat="1" ht="18.75" customHeight="1" x14ac:dyDescent="0.2">
      <c r="A41" s="865" t="s">
        <v>194</v>
      </c>
      <c r="B41" s="866"/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519"/>
      <c r="T41" s="520"/>
      <c r="U41" s="520"/>
      <c r="V41" s="520"/>
      <c r="W41" s="520"/>
      <c r="X41" s="520"/>
      <c r="Y41" s="520"/>
      <c r="Z41" s="520"/>
      <c r="AA41" s="521"/>
      <c r="AD41" s="136"/>
      <c r="AG41" s="136"/>
      <c r="AI41" s="136"/>
      <c r="AL41" s="136"/>
    </row>
    <row r="42" spans="1:39" s="138" customFormat="1" ht="0.75" customHeight="1" x14ac:dyDescent="0.2">
      <c r="A42" s="382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516"/>
      <c r="T42" s="151"/>
      <c r="U42" s="151"/>
      <c r="V42" s="151"/>
      <c r="W42" s="151"/>
      <c r="X42" s="151"/>
      <c r="Y42" s="151"/>
      <c r="Z42" s="151"/>
      <c r="AA42" s="518"/>
      <c r="AD42" s="136"/>
      <c r="AG42" s="136"/>
      <c r="AI42" s="136"/>
      <c r="AL42" s="136"/>
    </row>
    <row r="43" spans="1:39" ht="11.25" customHeight="1" x14ac:dyDescent="0.2">
      <c r="A43" s="27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2"/>
      <c r="T43" s="13"/>
      <c r="U43" s="13"/>
      <c r="V43" s="13"/>
      <c r="W43" s="35" t="str">
        <f>Kend!W54</f>
        <v>Wonosobo,        Januari 2019</v>
      </c>
      <c r="X43" s="13"/>
      <c r="Y43" s="13"/>
      <c r="Z43" s="13"/>
      <c r="AA43" s="279"/>
    </row>
    <row r="44" spans="1:39" ht="3" customHeight="1" x14ac:dyDescent="0.2">
      <c r="A44" s="27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2"/>
      <c r="T44" s="13"/>
      <c r="U44" s="13"/>
      <c r="V44" s="13"/>
      <c r="W44" s="35"/>
      <c r="X44" s="13"/>
      <c r="Y44" s="13"/>
      <c r="Z44" s="13"/>
      <c r="AA44" s="279"/>
    </row>
    <row r="45" spans="1:39" ht="18.75" customHeight="1" x14ac:dyDescent="0.2">
      <c r="A45" s="283"/>
      <c r="B45" s="26" t="s">
        <v>34</v>
      </c>
      <c r="C45" s="13" t="str">
        <f>Kend!C55</f>
        <v>RIDWAN SETIA N, S.Kom</v>
      </c>
      <c r="D45" s="13"/>
      <c r="E45" s="13"/>
      <c r="F45" s="47"/>
      <c r="G45" s="47"/>
      <c r="H45" s="47"/>
      <c r="K45" s="64" t="s">
        <v>34</v>
      </c>
      <c r="L45" s="47" t="s">
        <v>196</v>
      </c>
      <c r="M45" s="47"/>
      <c r="N45" s="47"/>
      <c r="O45" s="13"/>
      <c r="P45" s="13"/>
      <c r="Q45" s="13"/>
      <c r="R45" s="47"/>
      <c r="S45" s="522"/>
      <c r="T45" s="47"/>
      <c r="U45" s="13"/>
      <c r="V45" s="13"/>
      <c r="W45" s="35" t="s">
        <v>33</v>
      </c>
      <c r="X45" s="13"/>
      <c r="Y45" s="13"/>
      <c r="Z45" s="13"/>
      <c r="AA45" s="279"/>
    </row>
    <row r="46" spans="1:39" ht="18.75" customHeight="1" x14ac:dyDescent="0.2">
      <c r="A46" s="283"/>
      <c r="B46" s="26"/>
      <c r="C46" s="13"/>
      <c r="D46" s="13"/>
      <c r="E46" s="13"/>
      <c r="F46" s="13"/>
      <c r="G46" s="13"/>
      <c r="H46" s="13"/>
      <c r="K46" s="13"/>
      <c r="L46" s="13"/>
      <c r="M46" s="13"/>
      <c r="N46" s="13"/>
      <c r="O46" s="13"/>
      <c r="P46" s="13"/>
      <c r="Q46" s="13"/>
      <c r="R46" s="13"/>
      <c r="S46" s="12"/>
      <c r="T46" s="13"/>
      <c r="U46" s="13"/>
      <c r="V46" s="13"/>
      <c r="W46" s="35" t="s">
        <v>85</v>
      </c>
      <c r="X46" s="13"/>
      <c r="Y46" s="13"/>
      <c r="Z46" s="13"/>
      <c r="AA46" s="279"/>
    </row>
    <row r="47" spans="1:39" ht="18.75" customHeight="1" x14ac:dyDescent="0.2">
      <c r="A47" s="283"/>
      <c r="D47" s="13"/>
      <c r="E47" s="13"/>
      <c r="F47" s="47"/>
      <c r="G47" s="47"/>
      <c r="H47" s="47"/>
      <c r="K47" s="47"/>
      <c r="L47" s="47"/>
      <c r="O47" s="13"/>
      <c r="P47" s="13"/>
      <c r="Q47" s="13"/>
      <c r="R47" s="47"/>
      <c r="S47" s="522"/>
      <c r="T47" s="47"/>
      <c r="U47" s="13"/>
      <c r="V47" s="13"/>
      <c r="W47" s="65"/>
      <c r="X47" s="13"/>
      <c r="Y47" s="13"/>
      <c r="Z47" s="13"/>
      <c r="AA47" s="279"/>
    </row>
    <row r="48" spans="1:39" ht="18.75" customHeight="1" x14ac:dyDescent="0.2">
      <c r="A48" s="278"/>
      <c r="B48" s="26" t="s">
        <v>35</v>
      </c>
      <c r="C48" s="13" t="str">
        <f>Kend!C58</f>
        <v>SABAR KHOIRI</v>
      </c>
      <c r="D48" s="44"/>
      <c r="E48" s="44"/>
      <c r="F48" s="44"/>
      <c r="G48" s="44"/>
      <c r="H48" s="44"/>
      <c r="K48" s="64" t="s">
        <v>35</v>
      </c>
      <c r="L48" s="47" t="s">
        <v>196</v>
      </c>
      <c r="M48" s="44"/>
      <c r="N48" s="44"/>
      <c r="O48" s="13"/>
      <c r="P48" s="13"/>
      <c r="Q48" s="13"/>
      <c r="R48" s="44"/>
      <c r="S48" s="46"/>
      <c r="T48" s="44"/>
      <c r="U48" s="44"/>
      <c r="V48" s="44"/>
      <c r="W48" s="35"/>
      <c r="X48" s="44"/>
      <c r="Y48" s="44"/>
      <c r="Z48" s="44"/>
      <c r="AA48" s="284"/>
    </row>
    <row r="49" spans="1:27" s="33" customFormat="1" ht="18.75" customHeight="1" x14ac:dyDescent="0.2">
      <c r="A49" s="285"/>
      <c r="B49" s="26"/>
      <c r="C49" s="13"/>
      <c r="D49" s="13"/>
      <c r="E49" s="13"/>
      <c r="F49" s="35"/>
      <c r="G49" s="35"/>
      <c r="H49" s="35"/>
      <c r="K49" s="64"/>
      <c r="L49" s="47"/>
      <c r="M49" s="35"/>
      <c r="N49" s="35"/>
      <c r="O49" s="35"/>
      <c r="P49" s="35"/>
      <c r="Q49" s="35"/>
      <c r="R49" s="35"/>
      <c r="S49" s="36"/>
      <c r="T49" s="35"/>
      <c r="U49" s="66"/>
      <c r="V49" s="66"/>
      <c r="W49" s="52" t="str">
        <f>Kend!W59</f>
        <v>Drs. M. KRISTIJADI, M.Si</v>
      </c>
      <c r="X49" s="66"/>
      <c r="Y49" s="66"/>
      <c r="Z49" s="13"/>
      <c r="AA49" s="279"/>
    </row>
    <row r="50" spans="1:27" s="33" customFormat="1" ht="15" customHeight="1" x14ac:dyDescent="0.2">
      <c r="A50" s="285"/>
      <c r="B50" s="26"/>
      <c r="C50" s="13"/>
      <c r="D50" s="13"/>
      <c r="E50" s="13"/>
      <c r="F50" s="35"/>
      <c r="G50" s="35"/>
      <c r="H50" s="35"/>
      <c r="I50" s="64"/>
      <c r="J50" s="47"/>
      <c r="K50" s="35"/>
      <c r="L50" s="35"/>
      <c r="M50" s="35"/>
      <c r="N50" s="35"/>
      <c r="O50" s="35"/>
      <c r="P50" s="35"/>
      <c r="Q50" s="35"/>
      <c r="R50" s="35"/>
      <c r="S50" s="36"/>
      <c r="T50" s="35"/>
      <c r="U50" s="66"/>
      <c r="V50" s="66"/>
      <c r="W50" s="35" t="str">
        <f>Kend!W60</f>
        <v>Pembina Utama Muda</v>
      </c>
      <c r="X50" s="66"/>
      <c r="Y50" s="66"/>
      <c r="Z50" s="13"/>
      <c r="AA50" s="279"/>
    </row>
    <row r="51" spans="1:27" s="33" customFormat="1" ht="18.75" customHeight="1" x14ac:dyDescent="0.2">
      <c r="A51" s="285"/>
      <c r="B51" s="35"/>
      <c r="C51" s="35"/>
      <c r="D51" s="35"/>
      <c r="E51" s="35"/>
      <c r="F51" s="35"/>
      <c r="G51" s="26"/>
      <c r="H51" s="13"/>
      <c r="I51" s="13"/>
      <c r="J51" s="13"/>
      <c r="K51" s="35"/>
      <c r="L51" s="35"/>
      <c r="M51" s="35"/>
      <c r="N51" s="64"/>
      <c r="O51" s="47"/>
      <c r="P51" s="35"/>
      <c r="Q51" s="35"/>
      <c r="R51" s="35"/>
      <c r="S51" s="36"/>
      <c r="T51" s="35"/>
      <c r="U51" s="66"/>
      <c r="V51" s="66"/>
      <c r="W51" s="35" t="str">
        <f>Kend!W61</f>
        <v>NIP. 19681226 199403 1 005</v>
      </c>
      <c r="X51" s="66"/>
      <c r="Y51" s="66"/>
      <c r="Z51" s="13"/>
      <c r="AA51" s="279"/>
    </row>
    <row r="52" spans="1:27" ht="6" customHeight="1" thickBot="1" x14ac:dyDescent="0.25">
      <c r="A52" s="286"/>
      <c r="B52" s="287"/>
      <c r="C52" s="287"/>
      <c r="D52" s="287"/>
      <c r="E52" s="287"/>
      <c r="F52" s="287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524"/>
      <c r="T52" s="288"/>
      <c r="U52" s="288"/>
      <c r="V52" s="288"/>
      <c r="W52" s="289"/>
      <c r="X52" s="288"/>
      <c r="Y52" s="288"/>
      <c r="Z52" s="288"/>
      <c r="AA52" s="290"/>
    </row>
    <row r="53" spans="1:27" ht="17.25" thickTop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</sheetData>
  <mergeCells count="71">
    <mergeCell ref="T31:U31"/>
    <mergeCell ref="Y31:AA31"/>
    <mergeCell ref="R25:S25"/>
    <mergeCell ref="T25:U25"/>
    <mergeCell ref="Y26:AA26"/>
    <mergeCell ref="Y25:AA25"/>
    <mergeCell ref="T30:U30"/>
    <mergeCell ref="V30:X30"/>
    <mergeCell ref="R31:S31"/>
    <mergeCell ref="R26:S26"/>
    <mergeCell ref="V26:X26"/>
    <mergeCell ref="Y28:AA28"/>
    <mergeCell ref="Y30:AA30"/>
    <mergeCell ref="R30:S30"/>
    <mergeCell ref="AE28:AG28"/>
    <mergeCell ref="AE29:AG29"/>
    <mergeCell ref="R28:S28"/>
    <mergeCell ref="V28:X28"/>
    <mergeCell ref="V29:X29"/>
    <mergeCell ref="T28:U28"/>
    <mergeCell ref="T29:U29"/>
    <mergeCell ref="Y29:AA29"/>
    <mergeCell ref="R29:S29"/>
    <mergeCell ref="AB26:AD26"/>
    <mergeCell ref="A1:Q1"/>
    <mergeCell ref="A2:Q2"/>
    <mergeCell ref="A4:AA4"/>
    <mergeCell ref="A3:AA3"/>
    <mergeCell ref="K21:Q22"/>
    <mergeCell ref="R21:X21"/>
    <mergeCell ref="Y14:AA14"/>
    <mergeCell ref="A13:F13"/>
    <mergeCell ref="G13:X13"/>
    <mergeCell ref="Y21:AA22"/>
    <mergeCell ref="R22:S22"/>
    <mergeCell ref="Y15:AA15"/>
    <mergeCell ref="A12:AA12"/>
    <mergeCell ref="Y13:AA13"/>
    <mergeCell ref="Y1:AA2"/>
    <mergeCell ref="R1:X1"/>
    <mergeCell ref="G37:J37"/>
    <mergeCell ref="R32:S32"/>
    <mergeCell ref="V23:X23"/>
    <mergeCell ref="V32:X32"/>
    <mergeCell ref="T32:U32"/>
    <mergeCell ref="M5:AA5"/>
    <mergeCell ref="T26:U26"/>
    <mergeCell ref="R24:S24"/>
    <mergeCell ref="V25:X25"/>
    <mergeCell ref="V24:X24"/>
    <mergeCell ref="T24:U24"/>
    <mergeCell ref="Y24:AA24"/>
    <mergeCell ref="T22:U22"/>
    <mergeCell ref="Y32:AA32"/>
    <mergeCell ref="V31:X31"/>
    <mergeCell ref="A41:R41"/>
    <mergeCell ref="Y16:AA16"/>
    <mergeCell ref="A20:AA20"/>
    <mergeCell ref="K23:Q23"/>
    <mergeCell ref="G36:J36"/>
    <mergeCell ref="G35:J35"/>
    <mergeCell ref="A23:J23"/>
    <mergeCell ref="A21:J22"/>
    <mergeCell ref="Y23:AA23"/>
    <mergeCell ref="V22:X22"/>
    <mergeCell ref="R23:S23"/>
    <mergeCell ref="T23:U23"/>
    <mergeCell ref="Y17:AA17"/>
    <mergeCell ref="A19:AA19"/>
    <mergeCell ref="G39:J39"/>
    <mergeCell ref="G38:J38"/>
  </mergeCells>
  <phoneticPr fontId="2" type="noConversion"/>
  <printOptions horizontalCentered="1"/>
  <pageMargins left="0.31496062992125984" right="0.11811023622047245" top="0.51181102362204722" bottom="1.3385826771653544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6"/>
  <sheetViews>
    <sheetView showGridLines="0" tabSelected="1" view="pageBreakPreview" topLeftCell="A26" workbookViewId="0">
      <selection activeCell="Z34" sqref="Z34"/>
    </sheetView>
  </sheetViews>
  <sheetFormatPr defaultColWidth="4.42578125" defaultRowHeight="16.5" x14ac:dyDescent="0.2"/>
  <cols>
    <col min="1" max="10" width="3.7109375" style="15" customWidth="1"/>
    <col min="11" max="27" width="4.42578125" style="15" customWidth="1"/>
    <col min="28" max="28" width="13.7109375" style="15" customWidth="1"/>
    <col min="29" max="29" width="6" style="15" customWidth="1"/>
    <col min="30" max="30" width="5.42578125" style="15" customWidth="1"/>
    <col min="31" max="39" width="5" style="15" customWidth="1"/>
    <col min="40" max="16384" width="4.42578125" style="15"/>
  </cols>
  <sheetData>
    <row r="1" spans="1:38" ht="17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8" ht="30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26</v>
      </c>
      <c r="W2" s="56" t="s">
        <v>40</v>
      </c>
      <c r="X2" s="56" t="s">
        <v>41</v>
      </c>
      <c r="Y2" s="777"/>
      <c r="Z2" s="778"/>
      <c r="AA2" s="779"/>
    </row>
    <row r="3" spans="1:38" ht="16.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8" ht="17.25" customHeight="1" x14ac:dyDescent="0.2">
      <c r="A4" s="920" t="s">
        <v>341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8" ht="20.25" customHeight="1" x14ac:dyDescent="0.2">
      <c r="A5" s="266" t="s">
        <v>18</v>
      </c>
      <c r="B5" s="558"/>
      <c r="C5" s="558"/>
      <c r="D5" s="558"/>
      <c r="E5" s="558"/>
      <c r="F5" s="558"/>
      <c r="G5" s="14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8" ht="18.75" customHeight="1" x14ac:dyDescent="0.2">
      <c r="A6" s="266" t="s">
        <v>19</v>
      </c>
      <c r="B6" s="119"/>
      <c r="C6" s="119"/>
      <c r="D6" s="119"/>
      <c r="E6" s="119"/>
      <c r="F6" s="119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8" ht="18.75" customHeight="1" x14ac:dyDescent="0.2">
      <c r="A7" s="266" t="s">
        <v>20</v>
      </c>
      <c r="B7" s="119"/>
      <c r="C7" s="119"/>
      <c r="D7" s="119"/>
      <c r="E7" s="119"/>
      <c r="F7" s="119"/>
      <c r="G7" s="14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8" ht="18.75" customHeight="1" x14ac:dyDescent="0.2">
      <c r="A8" s="268" t="s">
        <v>21</v>
      </c>
      <c r="B8" s="120"/>
      <c r="C8" s="120"/>
      <c r="D8" s="120"/>
      <c r="E8" s="120"/>
      <c r="F8" s="120"/>
      <c r="G8" s="14" t="s">
        <v>89</v>
      </c>
      <c r="H8" s="61" t="s">
        <v>328</v>
      </c>
      <c r="I8" s="61"/>
      <c r="J8" s="61"/>
      <c r="K8" s="61" t="s">
        <v>44</v>
      </c>
      <c r="L8" s="61" t="s">
        <v>97</v>
      </c>
      <c r="M8" s="16" t="s">
        <v>107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8" ht="18.75" customHeight="1" x14ac:dyDescent="0.2">
      <c r="A9" s="268" t="s">
        <v>22</v>
      </c>
      <c r="B9" s="120"/>
      <c r="C9" s="120"/>
      <c r="D9" s="120"/>
      <c r="E9" s="120"/>
      <c r="F9" s="120"/>
      <c r="G9" s="14" t="s">
        <v>89</v>
      </c>
      <c r="H9" s="18" t="s">
        <v>342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8" ht="18.75" customHeight="1" x14ac:dyDescent="0.2">
      <c r="A10" s="268" t="s">
        <v>23</v>
      </c>
      <c r="B10" s="120"/>
      <c r="C10" s="120"/>
      <c r="D10" s="120"/>
      <c r="E10" s="120"/>
      <c r="F10" s="120"/>
      <c r="G10" s="14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8" ht="18.75" customHeight="1" x14ac:dyDescent="0.2">
      <c r="A11" s="268" t="s">
        <v>24</v>
      </c>
      <c r="B11" s="120"/>
      <c r="C11" s="120"/>
      <c r="D11" s="120"/>
      <c r="E11" s="120"/>
      <c r="F11" s="120"/>
      <c r="G11" s="14" t="s">
        <v>89</v>
      </c>
      <c r="H11" s="18" t="s">
        <v>343</v>
      </c>
      <c r="I11" s="20"/>
      <c r="J11" s="20"/>
      <c r="K11" s="20"/>
      <c r="L11" s="20"/>
      <c r="M11" s="18"/>
      <c r="N11" s="16"/>
      <c r="O11" s="16"/>
      <c r="P11" s="16"/>
      <c r="Q11" s="16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8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  <c r="AF12" s="50"/>
      <c r="AH12" s="50"/>
      <c r="AJ12" s="50"/>
      <c r="AL12" s="50"/>
    </row>
    <row r="13" spans="1:38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8" ht="18.75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144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  <c r="Y14" s="894">
        <v>1</v>
      </c>
      <c r="Z14" s="895"/>
      <c r="AA14" s="896"/>
      <c r="AD14" s="50"/>
      <c r="AF14" s="50"/>
      <c r="AH14" s="50"/>
      <c r="AJ14" s="50"/>
      <c r="AL14" s="50"/>
    </row>
    <row r="15" spans="1:38" ht="18.75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891">
        <f>Y24</f>
        <v>25200000</v>
      </c>
      <c r="Z15" s="892"/>
      <c r="AA15" s="893"/>
      <c r="AD15" s="51"/>
      <c r="AF15" s="51"/>
      <c r="AH15" s="51"/>
      <c r="AJ15" s="51"/>
      <c r="AL15" s="51"/>
    </row>
    <row r="16" spans="1:38" ht="18.75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145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16"/>
      <c r="W16" s="16"/>
      <c r="X16" s="17"/>
      <c r="Y16" s="889" t="s">
        <v>124</v>
      </c>
      <c r="Z16" s="883"/>
      <c r="AA16" s="890"/>
    </row>
    <row r="17" spans="1:39" ht="18.75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145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6"/>
      <c r="V17" s="16"/>
      <c r="W17" s="16"/>
      <c r="X17" s="17"/>
      <c r="Y17" s="889" t="s">
        <v>177</v>
      </c>
      <c r="Z17" s="883"/>
      <c r="AA17" s="890"/>
      <c r="AD17" s="51"/>
      <c r="AF17" s="51"/>
      <c r="AH17" s="51"/>
      <c r="AJ17" s="51"/>
      <c r="AL17" s="51"/>
    </row>
    <row r="18" spans="1:39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  <c r="AF18" s="51"/>
      <c r="AH18" s="51"/>
      <c r="AJ18" s="51"/>
      <c r="AL18" s="51"/>
    </row>
    <row r="19" spans="1:39" ht="13.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9" ht="18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F20" s="48"/>
      <c r="AH20" s="48"/>
      <c r="AJ20" s="48"/>
      <c r="AL20" s="48"/>
    </row>
    <row r="21" spans="1:39" ht="18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9" ht="18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9" ht="18.7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9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97</v>
      </c>
      <c r="F24" s="23" t="s">
        <v>40</v>
      </c>
      <c r="G24" s="23" t="s">
        <v>41</v>
      </c>
      <c r="H24" s="23" t="s">
        <v>41</v>
      </c>
      <c r="I24" s="23"/>
      <c r="J24" s="23"/>
      <c r="K24" s="91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25200000</v>
      </c>
      <c r="Z24" s="918"/>
      <c r="AA24" s="948"/>
    </row>
    <row r="25" spans="1:39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97</v>
      </c>
      <c r="F25" s="23" t="s">
        <v>40</v>
      </c>
      <c r="G25" s="23" t="s">
        <v>41</v>
      </c>
      <c r="H25" s="23" t="s">
        <v>41</v>
      </c>
      <c r="I25" s="23" t="s">
        <v>42</v>
      </c>
      <c r="J25" s="23"/>
      <c r="K25" s="91" t="s">
        <v>37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25200000</v>
      </c>
      <c r="Z25" s="918"/>
      <c r="AA25" s="948"/>
      <c r="AC25" s="13"/>
      <c r="AE25" s="800"/>
      <c r="AF25" s="800"/>
      <c r="AG25" s="800"/>
    </row>
    <row r="26" spans="1:39" ht="18.75" customHeight="1" x14ac:dyDescent="0.2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97</v>
      </c>
      <c r="F26" s="25" t="s">
        <v>40</v>
      </c>
      <c r="G26" s="25" t="s">
        <v>41</v>
      </c>
      <c r="H26" s="25" t="s">
        <v>41</v>
      </c>
      <c r="I26" s="25" t="s">
        <v>42</v>
      </c>
      <c r="J26" s="25" t="s">
        <v>70</v>
      </c>
      <c r="K26" s="92" t="s">
        <v>71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SUM(Y27:AA30)</f>
        <v>25200000</v>
      </c>
      <c r="Z26" s="871"/>
      <c r="AA26" s="930"/>
      <c r="AC26" s="13"/>
      <c r="AE26" s="800"/>
      <c r="AF26" s="800"/>
      <c r="AG26" s="800"/>
      <c r="AH26" s="48"/>
      <c r="AJ26" s="48"/>
      <c r="AL26" s="48"/>
    </row>
    <row r="27" spans="1:39" ht="18.75" customHeight="1" x14ac:dyDescent="0.3">
      <c r="A27" s="273"/>
      <c r="B27" s="74"/>
      <c r="C27" s="74"/>
      <c r="D27" s="74"/>
      <c r="E27" s="74"/>
      <c r="F27" s="25"/>
      <c r="G27" s="25"/>
      <c r="H27" s="25"/>
      <c r="I27" s="25"/>
      <c r="J27" s="25"/>
      <c r="K27" s="92" t="s">
        <v>292</v>
      </c>
      <c r="L27" s="60"/>
      <c r="M27" s="57"/>
      <c r="N27" s="57"/>
      <c r="O27" s="57"/>
      <c r="P27" s="60"/>
      <c r="Q27" s="57"/>
      <c r="R27" s="1188">
        <v>12</v>
      </c>
      <c r="S27" s="1189"/>
      <c r="T27" s="1188" t="s">
        <v>176</v>
      </c>
      <c r="U27" s="1189"/>
      <c r="V27" s="1182">
        <v>1600000</v>
      </c>
      <c r="W27" s="1183"/>
      <c r="X27" s="1184"/>
      <c r="Y27" s="870">
        <f>V27*R27</f>
        <v>19200000</v>
      </c>
      <c r="Z27" s="871"/>
      <c r="AA27" s="930"/>
      <c r="AE27" s="800"/>
      <c r="AF27" s="800"/>
      <c r="AG27" s="800"/>
      <c r="AH27" s="48"/>
      <c r="AI27" s="48"/>
      <c r="AJ27" s="48"/>
      <c r="AK27" s="48"/>
      <c r="AL27" s="48"/>
      <c r="AM27" s="48"/>
    </row>
    <row r="28" spans="1:39" ht="18.75" customHeight="1" x14ac:dyDescent="0.3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92" t="s">
        <v>372</v>
      </c>
      <c r="L28" s="60"/>
      <c r="M28" s="57"/>
      <c r="N28" s="57"/>
      <c r="O28" s="57"/>
      <c r="P28" s="60"/>
      <c r="Q28" s="57"/>
      <c r="R28" s="1188">
        <v>12</v>
      </c>
      <c r="S28" s="1189"/>
      <c r="T28" s="1188" t="s">
        <v>198</v>
      </c>
      <c r="U28" s="1189"/>
      <c r="V28" s="1182">
        <v>250000</v>
      </c>
      <c r="W28" s="1183"/>
      <c r="X28" s="1184"/>
      <c r="Y28" s="870">
        <f>V28*R28</f>
        <v>3000000</v>
      </c>
      <c r="Z28" s="871"/>
      <c r="AA28" s="930"/>
      <c r="AE28" s="800"/>
      <c r="AF28" s="800"/>
      <c r="AG28" s="800"/>
      <c r="AH28" s="48"/>
      <c r="AI28" s="48"/>
      <c r="AJ28" s="48"/>
      <c r="AK28" s="48"/>
      <c r="AL28" s="48"/>
      <c r="AM28" s="48"/>
    </row>
    <row r="29" spans="1:39" ht="18.75" customHeight="1" x14ac:dyDescent="0.3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92" t="s">
        <v>373</v>
      </c>
      <c r="L29" s="60"/>
      <c r="M29" s="57"/>
      <c r="N29" s="57"/>
      <c r="O29" s="57"/>
      <c r="P29" s="60"/>
      <c r="Q29" s="57"/>
      <c r="R29" s="1188">
        <v>12</v>
      </c>
      <c r="S29" s="1189"/>
      <c r="T29" s="1188" t="s">
        <v>198</v>
      </c>
      <c r="U29" s="1189"/>
      <c r="V29" s="1182">
        <v>250000</v>
      </c>
      <c r="W29" s="1183"/>
      <c r="X29" s="1184"/>
      <c r="Y29" s="870">
        <f>V29*R29</f>
        <v>3000000</v>
      </c>
      <c r="Z29" s="871"/>
      <c r="AA29" s="930"/>
      <c r="AE29" s="800"/>
      <c r="AF29" s="800"/>
      <c r="AG29" s="800"/>
      <c r="AH29" s="48"/>
      <c r="AI29" s="48"/>
      <c r="AJ29" s="48"/>
      <c r="AK29" s="48"/>
      <c r="AL29" s="48"/>
      <c r="AM29" s="48"/>
    </row>
    <row r="30" spans="1:39" ht="18.75" customHeight="1" x14ac:dyDescent="0.3">
      <c r="A30" s="275"/>
      <c r="B30" s="85"/>
      <c r="C30" s="85"/>
      <c r="D30" s="85"/>
      <c r="E30" s="85"/>
      <c r="F30" s="85"/>
      <c r="G30" s="85"/>
      <c r="H30" s="85"/>
      <c r="I30" s="85"/>
      <c r="J30" s="85"/>
      <c r="K30" s="1185"/>
      <c r="L30" s="1186"/>
      <c r="M30" s="1186"/>
      <c r="N30" s="1186"/>
      <c r="O30" s="1186"/>
      <c r="P30" s="1186"/>
      <c r="Q30" s="1187"/>
      <c r="R30" s="1190"/>
      <c r="S30" s="1190"/>
      <c r="T30" s="1190"/>
      <c r="U30" s="1190"/>
      <c r="V30" s="1191"/>
      <c r="W30" s="1191"/>
      <c r="X30" s="1191"/>
      <c r="Y30" s="1157"/>
      <c r="Z30" s="1157"/>
      <c r="AA30" s="1158"/>
      <c r="AE30" s="800"/>
      <c r="AF30" s="800"/>
      <c r="AG30" s="800"/>
      <c r="AH30" s="48"/>
      <c r="AI30" s="48"/>
      <c r="AJ30" s="48"/>
      <c r="AK30" s="48"/>
      <c r="AL30" s="48"/>
      <c r="AM30" s="48"/>
    </row>
    <row r="31" spans="1:39" ht="18.75" customHeight="1" x14ac:dyDescent="0.2">
      <c r="A31" s="276"/>
      <c r="B31" s="42"/>
      <c r="C31" s="42"/>
      <c r="D31" s="42"/>
      <c r="E31" s="42"/>
      <c r="F31" s="42"/>
      <c r="G31" s="42"/>
      <c r="H31" s="42"/>
      <c r="I31" s="42"/>
      <c r="J31" s="42"/>
      <c r="K31" s="49"/>
      <c r="L31" s="49"/>
      <c r="M31" s="49"/>
      <c r="N31" s="49"/>
      <c r="O31" s="49"/>
      <c r="P31" s="49"/>
      <c r="Q31" s="49"/>
      <c r="R31" s="1120"/>
      <c r="S31" s="1120"/>
      <c r="T31" s="1119"/>
      <c r="U31" s="1119"/>
      <c r="V31" s="1112" t="s">
        <v>28</v>
      </c>
      <c r="W31" s="1112"/>
      <c r="X31" s="1113"/>
      <c r="Y31" s="1122">
        <f>SUM(Y27:AA30)</f>
        <v>25200000</v>
      </c>
      <c r="Z31" s="1123"/>
      <c r="AA31" s="1124"/>
      <c r="AC31" s="13"/>
      <c r="AD31" s="45"/>
      <c r="AE31" s="800">
        <f>Y31/4</f>
        <v>6300000</v>
      </c>
      <c r="AF31" s="800"/>
      <c r="AG31" s="800"/>
      <c r="AH31" s="45"/>
      <c r="AI31" s="45"/>
      <c r="AJ31" s="45"/>
      <c r="AK31" s="45"/>
      <c r="AL31" s="45"/>
      <c r="AM31" s="45"/>
    </row>
    <row r="32" spans="1:39" ht="18.75" customHeight="1" x14ac:dyDescent="0.2">
      <c r="A32" s="277"/>
      <c r="B32" s="16" t="s">
        <v>306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67"/>
      <c r="AD32" s="48"/>
      <c r="AE32" s="800"/>
      <c r="AF32" s="800"/>
      <c r="AG32" s="800"/>
      <c r="AH32" s="48"/>
      <c r="AI32" s="48"/>
      <c r="AJ32" s="48"/>
      <c r="AK32" s="48"/>
      <c r="AL32" s="48"/>
      <c r="AM32" s="48"/>
    </row>
    <row r="33" spans="1:39" ht="15" customHeight="1" x14ac:dyDescent="0.2">
      <c r="A33" s="278"/>
      <c r="B33" s="13"/>
      <c r="C33" s="13"/>
      <c r="D33" s="13"/>
      <c r="E33" s="13"/>
      <c r="F33" s="13"/>
      <c r="G33" s="13"/>
      <c r="H33" s="27"/>
      <c r="I33" s="13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620" t="str">
        <f>PHL!U37</f>
        <v>CAMAT SUKOHARJO</v>
      </c>
      <c r="V33" s="13"/>
      <c r="W33" s="13"/>
      <c r="X33" s="35"/>
      <c r="Y33" s="13"/>
      <c r="Z33" s="13"/>
      <c r="AA33" s="279"/>
      <c r="AD33" s="48"/>
      <c r="AE33" s="48"/>
      <c r="AF33" s="48"/>
      <c r="AG33" s="48"/>
      <c r="AH33" s="48"/>
      <c r="AI33" s="48"/>
      <c r="AJ33" s="48"/>
      <c r="AK33" s="48"/>
      <c r="AL33" s="48"/>
      <c r="AM33" s="48"/>
    </row>
    <row r="34" spans="1:39" ht="17.25" customHeight="1" x14ac:dyDescent="0.2">
      <c r="A34" s="278"/>
      <c r="B34" s="13" t="s">
        <v>29</v>
      </c>
      <c r="C34" s="27"/>
      <c r="D34" s="13"/>
      <c r="E34" s="13"/>
      <c r="F34" s="40" t="s">
        <v>89</v>
      </c>
      <c r="G34" s="878">
        <f>Y31/4</f>
        <v>6300000</v>
      </c>
      <c r="H34" s="878"/>
      <c r="I34" s="878"/>
      <c r="J34" s="878"/>
      <c r="K34" s="13"/>
      <c r="L34" s="13"/>
      <c r="M34" s="13"/>
      <c r="N34" s="13"/>
      <c r="O34" s="28"/>
      <c r="P34" s="28"/>
      <c r="Q34" s="28"/>
      <c r="R34" s="28"/>
      <c r="S34" s="28"/>
      <c r="T34" s="28"/>
      <c r="U34" s="620">
        <f>PHL!U38</f>
        <v>0</v>
      </c>
      <c r="V34" s="13"/>
      <c r="W34" s="35"/>
      <c r="X34" s="13"/>
      <c r="Y34" s="13"/>
      <c r="Z34" s="13"/>
      <c r="AA34" s="279"/>
    </row>
    <row r="35" spans="1:39" ht="18" customHeight="1" x14ac:dyDescent="0.2">
      <c r="A35" s="278"/>
      <c r="B35" s="13" t="s">
        <v>30</v>
      </c>
      <c r="C35" s="27"/>
      <c r="D35" s="13"/>
      <c r="E35" s="13"/>
      <c r="F35" s="40" t="s">
        <v>89</v>
      </c>
      <c r="G35" s="878">
        <f>Y31/4</f>
        <v>6300000</v>
      </c>
      <c r="H35" s="878"/>
      <c r="I35" s="878"/>
      <c r="J35" s="878"/>
      <c r="K35" s="13"/>
      <c r="L35" s="13"/>
      <c r="M35" s="13"/>
      <c r="N35" s="13"/>
      <c r="O35" s="28"/>
      <c r="P35" s="28"/>
      <c r="Q35" s="28"/>
      <c r="R35" s="28"/>
      <c r="S35" s="28"/>
      <c r="T35" s="28"/>
      <c r="U35" s="620"/>
      <c r="V35" s="13"/>
      <c r="W35" s="35"/>
      <c r="X35" s="13"/>
      <c r="Y35" s="13"/>
      <c r="Z35" s="13"/>
      <c r="AA35" s="279"/>
    </row>
    <row r="36" spans="1:39" ht="15.75" customHeight="1" x14ac:dyDescent="0.2">
      <c r="A36" s="278"/>
      <c r="B36" s="13" t="s">
        <v>31</v>
      </c>
      <c r="C36" s="27"/>
      <c r="D36" s="13"/>
      <c r="E36" s="13"/>
      <c r="F36" s="40" t="s">
        <v>89</v>
      </c>
      <c r="G36" s="878">
        <f>Y31/4</f>
        <v>6300000</v>
      </c>
      <c r="H36" s="878"/>
      <c r="I36" s="878"/>
      <c r="J36" s="878"/>
      <c r="K36" s="13"/>
      <c r="L36" s="13"/>
      <c r="M36" s="13"/>
      <c r="N36" s="13"/>
      <c r="O36" s="28"/>
      <c r="P36" s="28"/>
      <c r="Q36" s="28"/>
      <c r="R36" s="28"/>
      <c r="S36" s="28"/>
      <c r="T36" s="28"/>
      <c r="U36" s="620"/>
      <c r="V36" s="13"/>
      <c r="W36" s="35"/>
      <c r="X36" s="13"/>
      <c r="Y36" s="13"/>
      <c r="Z36" s="13"/>
      <c r="AA36" s="279"/>
      <c r="AF36" s="48"/>
    </row>
    <row r="37" spans="1:39" ht="18.75" customHeight="1" x14ac:dyDescent="0.2">
      <c r="A37" s="278"/>
      <c r="B37" s="13" t="s">
        <v>32</v>
      </c>
      <c r="C37" s="30"/>
      <c r="D37" s="29"/>
      <c r="E37" s="13"/>
      <c r="F37" s="40" t="s">
        <v>89</v>
      </c>
      <c r="G37" s="965">
        <f>Y31/4</f>
        <v>6300000</v>
      </c>
      <c r="H37" s="965"/>
      <c r="I37" s="965"/>
      <c r="J37" s="965"/>
      <c r="K37" s="13"/>
      <c r="L37" s="13"/>
      <c r="M37" s="13"/>
      <c r="N37" s="13"/>
      <c r="O37" s="31"/>
      <c r="P37" s="31"/>
      <c r="Q37" s="31"/>
      <c r="R37" s="31"/>
      <c r="S37" s="31"/>
      <c r="T37" s="31"/>
      <c r="U37" s="52" t="str">
        <f>PHL!U41</f>
        <v>DUDI WARDOYO, AP, M.M</v>
      </c>
      <c r="V37" s="13"/>
      <c r="W37" s="52"/>
      <c r="X37" s="13"/>
      <c r="Y37" s="13"/>
      <c r="Z37" s="13"/>
      <c r="AA37" s="279"/>
    </row>
    <row r="38" spans="1:39" ht="14.25" customHeight="1" thickBot="1" x14ac:dyDescent="0.25">
      <c r="A38" s="278"/>
      <c r="B38" s="13"/>
      <c r="C38" s="13"/>
      <c r="D38" s="62" t="s">
        <v>28</v>
      </c>
      <c r="E38" s="13"/>
      <c r="F38" s="40" t="s">
        <v>89</v>
      </c>
      <c r="G38" s="877">
        <f>SUM(G34:J37)</f>
        <v>25200000</v>
      </c>
      <c r="H38" s="877"/>
      <c r="I38" s="877"/>
      <c r="J38" s="87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620" t="str">
        <f>PHL!U42</f>
        <v>Pembina Tk. I</v>
      </c>
      <c r="V38" s="13"/>
      <c r="W38" s="35"/>
      <c r="X38" s="13"/>
      <c r="Y38" s="34"/>
      <c r="Z38" s="34"/>
      <c r="AA38" s="280"/>
    </row>
    <row r="39" spans="1:39" ht="16.5" customHeight="1" thickTop="1" x14ac:dyDescent="0.2">
      <c r="A39" s="28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620" t="str">
        <f>PHL!U43</f>
        <v>NIP. 19741009 199311 1 001</v>
      </c>
      <c r="V39" s="10"/>
      <c r="W39" s="35"/>
      <c r="X39" s="10"/>
      <c r="Y39" s="10"/>
      <c r="Z39" s="10"/>
      <c r="AA39" s="282"/>
    </row>
    <row r="40" spans="1:39" s="138" customFormat="1" ht="18.75" customHeight="1" x14ac:dyDescent="0.2">
      <c r="A40" s="865" t="s">
        <v>194</v>
      </c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1181"/>
      <c r="S40" s="519"/>
      <c r="T40" s="520"/>
      <c r="U40" s="520"/>
      <c r="V40" s="520"/>
      <c r="W40" s="520"/>
      <c r="X40" s="520"/>
      <c r="Y40" s="520"/>
      <c r="Z40" s="520"/>
      <c r="AA40" s="521"/>
      <c r="AD40" s="136"/>
      <c r="AG40" s="136"/>
      <c r="AI40" s="136"/>
      <c r="AL40" s="136"/>
    </row>
    <row r="41" spans="1:39" s="138" customFormat="1" ht="0.75" customHeight="1" x14ac:dyDescent="0.2">
      <c r="A41" s="382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516"/>
      <c r="T41" s="151"/>
      <c r="U41" s="151"/>
      <c r="V41" s="151"/>
      <c r="W41" s="151"/>
      <c r="X41" s="151"/>
      <c r="Y41" s="151"/>
      <c r="Z41" s="151"/>
      <c r="AA41" s="518"/>
      <c r="AD41" s="136"/>
      <c r="AG41" s="136"/>
      <c r="AI41" s="136"/>
      <c r="AL41" s="136"/>
    </row>
    <row r="42" spans="1:39" ht="15" customHeight="1" x14ac:dyDescent="0.2">
      <c r="A42" s="27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2"/>
      <c r="T42" s="13"/>
      <c r="U42" s="13"/>
      <c r="V42" s="13"/>
      <c r="W42" s="35" t="str">
        <f>PHL!W46</f>
        <v>Wonosobo,        Januari 2019</v>
      </c>
      <c r="X42" s="13"/>
      <c r="Y42" s="13"/>
      <c r="Z42" s="13"/>
      <c r="AA42" s="279"/>
    </row>
    <row r="43" spans="1:39" ht="3" customHeight="1" x14ac:dyDescent="0.2">
      <c r="A43" s="27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2"/>
      <c r="T43" s="13"/>
      <c r="U43" s="13"/>
      <c r="V43" s="13"/>
      <c r="W43" s="35"/>
      <c r="X43" s="13"/>
      <c r="Y43" s="13"/>
      <c r="Z43" s="13"/>
      <c r="AA43" s="279"/>
    </row>
    <row r="44" spans="1:39" ht="18.75" customHeight="1" x14ac:dyDescent="0.2">
      <c r="A44" s="283"/>
      <c r="B44" s="26" t="s">
        <v>34</v>
      </c>
      <c r="C44" s="13" t="str">
        <f>PHL!C48</f>
        <v>RIDWAN SETIA N, S.Kom</v>
      </c>
      <c r="D44" s="13"/>
      <c r="E44" s="13"/>
      <c r="F44" s="47"/>
      <c r="G44" s="47"/>
      <c r="H44" s="13"/>
      <c r="K44" s="64" t="s">
        <v>34</v>
      </c>
      <c r="L44" s="47" t="s">
        <v>196</v>
      </c>
      <c r="M44" s="47"/>
      <c r="N44" s="47"/>
      <c r="O44" s="13"/>
      <c r="P44" s="13"/>
      <c r="Q44" s="13"/>
      <c r="R44" s="13"/>
      <c r="S44" s="522"/>
      <c r="T44" s="47"/>
      <c r="U44" s="13"/>
      <c r="V44" s="13"/>
      <c r="W44" s="35" t="s">
        <v>33</v>
      </c>
      <c r="X44" s="13"/>
      <c r="Y44" s="13"/>
      <c r="Z44" s="13"/>
      <c r="AA44" s="279"/>
    </row>
    <row r="45" spans="1:39" ht="18.75" customHeight="1" x14ac:dyDescent="0.2">
      <c r="A45" s="283"/>
      <c r="B45" s="26"/>
      <c r="C45" s="13"/>
      <c r="D45" s="13"/>
      <c r="E45" s="13"/>
      <c r="F45" s="13"/>
      <c r="G45" s="13"/>
      <c r="H45" s="13"/>
      <c r="K45" s="13"/>
      <c r="L45" s="13"/>
      <c r="M45" s="13"/>
      <c r="N45" s="13"/>
      <c r="O45" s="13"/>
      <c r="P45" s="13"/>
      <c r="Q45" s="13"/>
      <c r="R45" s="13"/>
      <c r="S45" s="12"/>
      <c r="T45" s="13"/>
      <c r="U45" s="13"/>
      <c r="V45" s="13"/>
      <c r="W45" s="35" t="s">
        <v>85</v>
      </c>
      <c r="X45" s="13"/>
      <c r="Y45" s="13"/>
      <c r="Z45" s="13"/>
      <c r="AA45" s="279"/>
    </row>
    <row r="46" spans="1:39" ht="18.75" customHeight="1" x14ac:dyDescent="0.2">
      <c r="A46" s="283"/>
      <c r="D46" s="13"/>
      <c r="E46" s="13"/>
      <c r="F46" s="47"/>
      <c r="G46" s="47"/>
      <c r="H46" s="13"/>
      <c r="K46" s="47"/>
      <c r="L46" s="47"/>
      <c r="O46" s="13"/>
      <c r="P46" s="13"/>
      <c r="Q46" s="13"/>
      <c r="R46" s="13"/>
      <c r="S46" s="522"/>
      <c r="T46" s="47"/>
      <c r="U46" s="13"/>
      <c r="V46" s="13"/>
      <c r="W46" s="65"/>
      <c r="X46" s="13"/>
      <c r="Y46" s="13"/>
      <c r="Z46" s="13"/>
      <c r="AA46" s="279"/>
    </row>
    <row r="47" spans="1:39" ht="18.75" customHeight="1" x14ac:dyDescent="0.2">
      <c r="A47" s="278"/>
      <c r="B47" s="26" t="s">
        <v>35</v>
      </c>
      <c r="C47" s="13" t="str">
        <f>PHL!C51</f>
        <v>SABAR KHOIRI</v>
      </c>
      <c r="D47" s="44"/>
      <c r="E47" s="44"/>
      <c r="F47" s="44"/>
      <c r="G47" s="44"/>
      <c r="H47" s="13"/>
      <c r="K47" s="64" t="s">
        <v>35</v>
      </c>
      <c r="L47" s="47" t="s">
        <v>279</v>
      </c>
      <c r="M47" s="44"/>
      <c r="N47" s="44"/>
      <c r="O47" s="13"/>
      <c r="P47" s="13"/>
      <c r="Q47" s="13"/>
      <c r="R47" s="13"/>
      <c r="S47" s="46"/>
      <c r="T47" s="44"/>
      <c r="U47" s="44"/>
      <c r="V47" s="44"/>
      <c r="W47" s="35"/>
      <c r="X47" s="44"/>
      <c r="Y47" s="44"/>
      <c r="Z47" s="44"/>
      <c r="AA47" s="284"/>
    </row>
    <row r="48" spans="1:39" s="33" customFormat="1" ht="18.75" customHeight="1" x14ac:dyDescent="0.2">
      <c r="A48" s="285"/>
      <c r="B48" s="26"/>
      <c r="C48" s="13"/>
      <c r="D48" s="13"/>
      <c r="E48" s="13"/>
      <c r="F48" s="35"/>
      <c r="G48" s="35"/>
      <c r="H48" s="35"/>
      <c r="K48" s="64"/>
      <c r="L48" s="47"/>
      <c r="M48" s="35"/>
      <c r="N48" s="35"/>
      <c r="O48" s="35"/>
      <c r="P48" s="35"/>
      <c r="Q48" s="35"/>
      <c r="R48" s="35"/>
      <c r="S48" s="36"/>
      <c r="T48" s="35"/>
      <c r="U48" s="66"/>
      <c r="V48" s="66"/>
      <c r="W48" s="52" t="str">
        <f>PHL!W52</f>
        <v>Drs. M. KRISTIJADI, M.Si</v>
      </c>
      <c r="X48" s="66"/>
      <c r="Y48" s="66"/>
      <c r="Z48" s="13"/>
      <c r="AA48" s="279"/>
    </row>
    <row r="49" spans="1:27" s="33" customFormat="1" ht="15" customHeight="1" x14ac:dyDescent="0.2">
      <c r="A49" s="285"/>
      <c r="B49" s="26"/>
      <c r="C49" s="13"/>
      <c r="D49" s="13"/>
      <c r="E49" s="13"/>
      <c r="F49" s="35"/>
      <c r="G49" s="35"/>
      <c r="H49" s="35"/>
      <c r="I49" s="64"/>
      <c r="J49" s="47"/>
      <c r="K49" s="35"/>
      <c r="L49" s="35"/>
      <c r="M49" s="35"/>
      <c r="N49" s="35"/>
      <c r="O49" s="35"/>
      <c r="P49" s="35"/>
      <c r="Q49" s="35"/>
      <c r="R49" s="35"/>
      <c r="S49" s="36"/>
      <c r="T49" s="35"/>
      <c r="U49" s="66"/>
      <c r="V49" s="66"/>
      <c r="W49" s="35" t="str">
        <f>PHL!W53</f>
        <v>Pembina Utama Muda</v>
      </c>
      <c r="X49" s="66"/>
      <c r="Y49" s="66"/>
      <c r="Z49" s="13"/>
      <c r="AA49" s="279"/>
    </row>
    <row r="50" spans="1:27" s="33" customFormat="1" ht="9" customHeight="1" x14ac:dyDescent="0.2">
      <c r="A50" s="285"/>
      <c r="B50" s="35"/>
      <c r="C50" s="35"/>
      <c r="D50" s="35"/>
      <c r="E50" s="35"/>
      <c r="F50" s="35"/>
      <c r="G50" s="26"/>
      <c r="H50" s="13"/>
      <c r="I50" s="13"/>
      <c r="J50" s="13"/>
      <c r="K50" s="35"/>
      <c r="L50" s="35"/>
      <c r="M50" s="35"/>
      <c r="N50" s="64"/>
      <c r="O50" s="47"/>
      <c r="P50" s="35"/>
      <c r="Q50" s="35"/>
      <c r="R50" s="35"/>
      <c r="S50" s="36"/>
      <c r="T50" s="35"/>
      <c r="U50" s="66"/>
      <c r="V50" s="66"/>
      <c r="W50" s="35" t="str">
        <f>PHL!W54</f>
        <v>NIP. 19681226 199403 1 005</v>
      </c>
      <c r="X50" s="66"/>
      <c r="Y50" s="66"/>
      <c r="Z50" s="13"/>
      <c r="AA50" s="279"/>
    </row>
    <row r="51" spans="1:27" ht="8.25" customHeight="1" thickBot="1" x14ac:dyDescent="0.25">
      <c r="A51" s="286"/>
      <c r="B51" s="287"/>
      <c r="C51" s="287"/>
      <c r="D51" s="287"/>
      <c r="E51" s="287"/>
      <c r="F51" s="287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524"/>
      <c r="T51" s="288"/>
      <c r="U51" s="288"/>
      <c r="V51" s="288"/>
      <c r="W51" s="289"/>
      <c r="X51" s="288"/>
      <c r="Y51" s="288"/>
      <c r="Z51" s="288"/>
      <c r="AA51" s="290"/>
    </row>
    <row r="52" spans="1:27" ht="17.25" thickTop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</sheetData>
  <mergeCells count="77">
    <mergeCell ref="A23:J23"/>
    <mergeCell ref="V22:X22"/>
    <mergeCell ref="Y25:AA25"/>
    <mergeCell ref="AE25:AG25"/>
    <mergeCell ref="V24:X24"/>
    <mergeCell ref="AE26:AG26"/>
    <mergeCell ref="AE28:AG28"/>
    <mergeCell ref="AE27:AG27"/>
    <mergeCell ref="Y24:AA24"/>
    <mergeCell ref="R25:S25"/>
    <mergeCell ref="V25:X25"/>
    <mergeCell ref="T25:U25"/>
    <mergeCell ref="R28:S28"/>
    <mergeCell ref="T28:U28"/>
    <mergeCell ref="V28:X28"/>
    <mergeCell ref="K30:Q30"/>
    <mergeCell ref="Y28:AA28"/>
    <mergeCell ref="Y29:AA29"/>
    <mergeCell ref="Y26:AA26"/>
    <mergeCell ref="R27:S27"/>
    <mergeCell ref="Y27:AA27"/>
    <mergeCell ref="R30:S30"/>
    <mergeCell ref="T30:U30"/>
    <mergeCell ref="V30:X30"/>
    <mergeCell ref="R26:S26"/>
    <mergeCell ref="T27:U27"/>
    <mergeCell ref="R29:S29"/>
    <mergeCell ref="T29:U29"/>
    <mergeCell ref="V27:X27"/>
    <mergeCell ref="V26:X26"/>
    <mergeCell ref="T26:U26"/>
    <mergeCell ref="M5:AA5"/>
    <mergeCell ref="Y16:AA16"/>
    <mergeCell ref="T24:U24"/>
    <mergeCell ref="R24:S24"/>
    <mergeCell ref="Y15:AA15"/>
    <mergeCell ref="Y14:AA14"/>
    <mergeCell ref="Y13:AA13"/>
    <mergeCell ref="Y17:AA17"/>
    <mergeCell ref="V23:X23"/>
    <mergeCell ref="Y23:AA23"/>
    <mergeCell ref="K21:Q22"/>
    <mergeCell ref="Y21:AA22"/>
    <mergeCell ref="R21:X21"/>
    <mergeCell ref="R22:S22"/>
    <mergeCell ref="Y1:AA2"/>
    <mergeCell ref="R1:X1"/>
    <mergeCell ref="T22:U22"/>
    <mergeCell ref="R23:S23"/>
    <mergeCell ref="T23:U23"/>
    <mergeCell ref="A12:AA12"/>
    <mergeCell ref="A21:J22"/>
    <mergeCell ref="A1:Q1"/>
    <mergeCell ref="A2:Q2"/>
    <mergeCell ref="A13:F13"/>
    <mergeCell ref="G13:X13"/>
    <mergeCell ref="A4:AA4"/>
    <mergeCell ref="A3:AA3"/>
    <mergeCell ref="A19:AA19"/>
    <mergeCell ref="A20:AA20"/>
    <mergeCell ref="K23:Q23"/>
    <mergeCell ref="AE32:AG32"/>
    <mergeCell ref="AE29:AG29"/>
    <mergeCell ref="AE30:AG30"/>
    <mergeCell ref="Y30:AA30"/>
    <mergeCell ref="V29:X29"/>
    <mergeCell ref="AE31:AG31"/>
    <mergeCell ref="Y31:AA31"/>
    <mergeCell ref="A40:R40"/>
    <mergeCell ref="V31:X31"/>
    <mergeCell ref="G38:J38"/>
    <mergeCell ref="G37:J37"/>
    <mergeCell ref="G36:J36"/>
    <mergeCell ref="T31:U31"/>
    <mergeCell ref="R31:S31"/>
    <mergeCell ref="G34:J34"/>
    <mergeCell ref="G35:J35"/>
  </mergeCells>
  <phoneticPr fontId="2" type="noConversion"/>
  <printOptions horizontalCentered="1"/>
  <pageMargins left="0.31496062992125984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62"/>
  <sheetViews>
    <sheetView showGridLines="0" view="pageBreakPreview" topLeftCell="A67" zoomScale="90" zoomScaleSheetLayoutView="90" workbookViewId="0">
      <selection activeCell="R56" sqref="R56:U57"/>
    </sheetView>
  </sheetViews>
  <sheetFormatPr defaultColWidth="4.42578125" defaultRowHeight="16.5" x14ac:dyDescent="0.2"/>
  <cols>
    <col min="1" max="8" width="4.42578125" style="15"/>
    <col min="9" max="9" width="1" style="15" customWidth="1"/>
    <col min="10" max="11" width="4.42578125" style="15"/>
    <col min="12" max="12" width="4.42578125" style="15" customWidth="1"/>
    <col min="13" max="14" width="4.42578125" style="15"/>
    <col min="15" max="15" width="5.140625" style="15" customWidth="1"/>
    <col min="16" max="16" width="4.42578125" style="15"/>
    <col min="17" max="17" width="4" style="15" customWidth="1"/>
    <col min="18" max="18" width="5.42578125" style="15" customWidth="1"/>
    <col min="19" max="19" width="4.42578125" style="15"/>
    <col min="20" max="20" width="4" style="15" customWidth="1"/>
    <col min="21" max="21" width="3.7109375" style="15" customWidth="1"/>
    <col min="22" max="22" width="4.42578125" style="15"/>
    <col min="23" max="23" width="2.28515625" style="15" customWidth="1"/>
    <col min="24" max="24" width="3.140625" style="15" customWidth="1"/>
    <col min="25" max="25" width="4.42578125" style="15"/>
    <col min="26" max="26" width="16.5703125" style="48" customWidth="1"/>
    <col min="27" max="27" width="14.7109375" style="15" customWidth="1"/>
    <col min="28" max="16384" width="4.42578125" style="15"/>
  </cols>
  <sheetData>
    <row r="1" spans="1:31" ht="21" customHeight="1" thickTop="1" x14ac:dyDescent="0.2">
      <c r="A1" s="772" t="s">
        <v>433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4"/>
      <c r="V1" s="775" t="s">
        <v>434</v>
      </c>
      <c r="W1" s="773"/>
      <c r="X1" s="773"/>
      <c r="Y1" s="776"/>
    </row>
    <row r="2" spans="1:31" ht="18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81"/>
      <c r="V2" s="777"/>
      <c r="W2" s="778"/>
      <c r="X2" s="778"/>
      <c r="Y2" s="779"/>
    </row>
    <row r="3" spans="1:31" ht="16.5" customHeight="1" x14ac:dyDescent="0.2">
      <c r="A3" s="782" t="s">
        <v>25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4"/>
    </row>
    <row r="4" spans="1:31" ht="18.75" customHeight="1" x14ac:dyDescent="0.2">
      <c r="A4" s="780" t="s">
        <v>383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9"/>
    </row>
    <row r="5" spans="1:31" ht="18.75" customHeight="1" x14ac:dyDescent="0.2">
      <c r="A5" s="416" t="s">
        <v>18</v>
      </c>
      <c r="B5" s="417"/>
      <c r="C5" s="417"/>
      <c r="D5" s="417"/>
      <c r="E5" s="417"/>
      <c r="F5" s="418" t="s">
        <v>89</v>
      </c>
      <c r="G5" s="419" t="s">
        <v>323</v>
      </c>
      <c r="H5" s="419"/>
      <c r="I5" s="16" t="s">
        <v>324</v>
      </c>
      <c r="J5" s="419"/>
      <c r="K5" s="419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20"/>
    </row>
    <row r="6" spans="1:31" ht="18.75" customHeight="1" x14ac:dyDescent="0.2">
      <c r="A6" s="416"/>
      <c r="B6" s="417"/>
      <c r="C6" s="417"/>
      <c r="D6" s="417"/>
      <c r="E6" s="417"/>
      <c r="F6" s="418"/>
      <c r="G6" s="419"/>
      <c r="H6" s="421"/>
      <c r="I6" s="13"/>
      <c r="J6" s="421"/>
      <c r="K6" s="419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20"/>
    </row>
    <row r="7" spans="1:31" ht="18.75" customHeight="1" x14ac:dyDescent="0.2">
      <c r="A7" s="416" t="s">
        <v>19</v>
      </c>
      <c r="B7" s="417"/>
      <c r="C7" s="417"/>
      <c r="D7" s="417"/>
      <c r="E7" s="417"/>
      <c r="F7" s="418" t="s">
        <v>89</v>
      </c>
      <c r="G7" s="419" t="s">
        <v>325</v>
      </c>
      <c r="H7" s="419"/>
      <c r="I7" s="417" t="s">
        <v>164</v>
      </c>
      <c r="J7" s="419"/>
      <c r="K7" s="419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20"/>
    </row>
    <row r="8" spans="1:31" ht="16.5" customHeight="1" x14ac:dyDescent="0.2">
      <c r="A8" s="782" t="s">
        <v>2</v>
      </c>
      <c r="B8" s="783"/>
      <c r="C8" s="785"/>
      <c r="D8" s="786" t="s">
        <v>228</v>
      </c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6" t="s">
        <v>13</v>
      </c>
      <c r="W8" s="783"/>
      <c r="X8" s="783"/>
      <c r="Y8" s="784"/>
    </row>
    <row r="9" spans="1:31" ht="17.25" customHeight="1" x14ac:dyDescent="0.2">
      <c r="A9" s="780"/>
      <c r="B9" s="778"/>
      <c r="C9" s="781"/>
      <c r="D9" s="777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7"/>
      <c r="W9" s="778"/>
      <c r="X9" s="778"/>
      <c r="Y9" s="779"/>
    </row>
    <row r="10" spans="1:31" ht="18.75" customHeight="1" x14ac:dyDescent="0.2">
      <c r="A10" s="787">
        <v>1</v>
      </c>
      <c r="B10" s="788"/>
      <c r="C10" s="789"/>
      <c r="D10" s="790">
        <v>2</v>
      </c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9"/>
      <c r="V10" s="790">
        <v>3</v>
      </c>
      <c r="W10" s="788"/>
      <c r="X10" s="788"/>
      <c r="Y10" s="791"/>
    </row>
    <row r="11" spans="1:31" ht="6.75" customHeight="1" x14ac:dyDescent="0.2">
      <c r="A11" s="422"/>
      <c r="B11" s="423"/>
      <c r="C11" s="424"/>
      <c r="D11" s="425"/>
      <c r="E11" s="423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7"/>
      <c r="Q11" s="427"/>
      <c r="R11" s="427"/>
      <c r="S11" s="427"/>
      <c r="T11" s="427"/>
      <c r="U11" s="428"/>
      <c r="V11" s="792"/>
      <c r="W11" s="793"/>
      <c r="X11" s="793"/>
      <c r="Y11" s="794"/>
    </row>
    <row r="12" spans="1:31" ht="17.25" customHeight="1" x14ac:dyDescent="0.2">
      <c r="A12" s="429" t="s">
        <v>109</v>
      </c>
      <c r="B12" s="430"/>
      <c r="C12" s="431"/>
      <c r="D12" s="432"/>
      <c r="E12" s="433" t="s">
        <v>110</v>
      </c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243"/>
      <c r="Q12" s="243"/>
      <c r="R12" s="243"/>
      <c r="S12" s="243"/>
      <c r="T12" s="243"/>
      <c r="U12" s="435"/>
      <c r="V12" s="756">
        <f>V13</f>
        <v>0</v>
      </c>
      <c r="W12" s="757"/>
      <c r="X12" s="757"/>
      <c r="Y12" s="758"/>
    </row>
    <row r="13" spans="1:31" s="105" customFormat="1" ht="17.25" customHeight="1" x14ac:dyDescent="0.2">
      <c r="A13" s="429" t="s">
        <v>109</v>
      </c>
      <c r="B13" s="430" t="s">
        <v>53</v>
      </c>
      <c r="C13" s="431"/>
      <c r="D13" s="432"/>
      <c r="E13" s="433" t="s">
        <v>229</v>
      </c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6"/>
      <c r="Q13" s="436"/>
      <c r="R13" s="434"/>
      <c r="S13" s="434"/>
      <c r="T13" s="434"/>
      <c r="U13" s="437"/>
      <c r="V13" s="756">
        <v>0</v>
      </c>
      <c r="W13" s="757"/>
      <c r="X13" s="757"/>
      <c r="Y13" s="758"/>
      <c r="Z13" s="103"/>
    </row>
    <row r="14" spans="1:31" s="105" customFormat="1" ht="6" customHeight="1" x14ac:dyDescent="0.2">
      <c r="A14" s="429"/>
      <c r="B14" s="430"/>
      <c r="C14" s="431"/>
      <c r="D14" s="432"/>
      <c r="E14" s="430"/>
      <c r="F14" s="434"/>
      <c r="G14" s="438"/>
      <c r="H14" s="438"/>
      <c r="I14" s="438"/>
      <c r="J14" s="438"/>
      <c r="K14" s="438"/>
      <c r="L14" s="438"/>
      <c r="M14" s="438"/>
      <c r="N14" s="438"/>
      <c r="O14" s="438"/>
      <c r="P14" s="436"/>
      <c r="Q14" s="436"/>
      <c r="R14" s="434"/>
      <c r="S14" s="434"/>
      <c r="T14" s="439"/>
      <c r="U14" s="440"/>
      <c r="V14" s="756"/>
      <c r="W14" s="757"/>
      <c r="X14" s="757"/>
      <c r="Y14" s="758"/>
      <c r="Z14" s="103"/>
      <c r="AC14" s="103"/>
    </row>
    <row r="15" spans="1:31" s="105" customFormat="1" ht="17.25" customHeight="1" x14ac:dyDescent="0.2">
      <c r="A15" s="429" t="s">
        <v>40</v>
      </c>
      <c r="B15" s="430"/>
      <c r="C15" s="431"/>
      <c r="D15" s="432"/>
      <c r="E15" s="433" t="s">
        <v>82</v>
      </c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6"/>
      <c r="Q15" s="436"/>
      <c r="R15" s="434"/>
      <c r="S15" s="434"/>
      <c r="T15" s="439"/>
      <c r="U15" s="440"/>
      <c r="V15" s="756">
        <f>V16+V19</f>
        <v>2914773868</v>
      </c>
      <c r="W15" s="757"/>
      <c r="X15" s="757"/>
      <c r="Y15" s="758"/>
      <c r="Z15" s="103"/>
    </row>
    <row r="16" spans="1:31" s="105" customFormat="1" ht="17.25" customHeight="1" x14ac:dyDescent="0.2">
      <c r="A16" s="429" t="s">
        <v>40</v>
      </c>
      <c r="B16" s="430" t="s">
        <v>53</v>
      </c>
      <c r="C16" s="431"/>
      <c r="D16" s="432"/>
      <c r="E16" s="433" t="s">
        <v>83</v>
      </c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4"/>
      <c r="Q16" s="434"/>
      <c r="R16" s="434"/>
      <c r="S16" s="434"/>
      <c r="T16" s="441"/>
      <c r="U16" s="442"/>
      <c r="V16" s="756">
        <f>V17</f>
        <v>1994971168</v>
      </c>
      <c r="W16" s="757"/>
      <c r="X16" s="757"/>
      <c r="Y16" s="758"/>
      <c r="Z16" s="103"/>
      <c r="AB16" s="795"/>
      <c r="AC16" s="795"/>
      <c r="AD16" s="795"/>
      <c r="AE16" s="795"/>
    </row>
    <row r="17" spans="1:32" ht="17.25" customHeight="1" x14ac:dyDescent="0.2">
      <c r="A17" s="565" t="s">
        <v>40</v>
      </c>
      <c r="B17" s="566" t="s">
        <v>53</v>
      </c>
      <c r="C17" s="567" t="s">
        <v>53</v>
      </c>
      <c r="D17" s="568"/>
      <c r="E17" s="569" t="s">
        <v>84</v>
      </c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256"/>
      <c r="Q17" s="256"/>
      <c r="R17" s="256"/>
      <c r="S17" s="256"/>
      <c r="T17" s="571"/>
      <c r="U17" s="572"/>
      <c r="V17" s="759">
        <f>V39</f>
        <v>1994971168</v>
      </c>
      <c r="W17" s="760"/>
      <c r="X17" s="760"/>
      <c r="Y17" s="761"/>
      <c r="AB17" s="795"/>
      <c r="AC17" s="795"/>
      <c r="AD17" s="795"/>
      <c r="AE17" s="795"/>
      <c r="AF17" s="33"/>
    </row>
    <row r="18" spans="1:32" ht="3.75" customHeight="1" x14ac:dyDescent="0.2">
      <c r="A18" s="443"/>
      <c r="B18" s="399"/>
      <c r="C18" s="444"/>
      <c r="D18" s="445"/>
      <c r="E18" s="399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243"/>
      <c r="Q18" s="243"/>
      <c r="R18" s="243"/>
      <c r="S18" s="243"/>
      <c r="T18" s="446"/>
      <c r="U18" s="447"/>
      <c r="V18" s="756"/>
      <c r="W18" s="757"/>
      <c r="X18" s="757"/>
      <c r="Y18" s="758"/>
      <c r="AB18" s="796"/>
      <c r="AC18" s="795"/>
      <c r="AD18" s="795"/>
      <c r="AE18" s="795"/>
      <c r="AF18" s="33"/>
    </row>
    <row r="19" spans="1:32" s="105" customFormat="1" ht="17.25" customHeight="1" x14ac:dyDescent="0.2">
      <c r="A19" s="429" t="s">
        <v>40</v>
      </c>
      <c r="B19" s="430" t="s">
        <v>41</v>
      </c>
      <c r="C19" s="431"/>
      <c r="D19" s="432"/>
      <c r="E19" s="433" t="s">
        <v>183</v>
      </c>
      <c r="F19" s="434"/>
      <c r="G19" s="438"/>
      <c r="H19" s="438"/>
      <c r="I19" s="438"/>
      <c r="J19" s="438"/>
      <c r="K19" s="438"/>
      <c r="L19" s="438"/>
      <c r="M19" s="438"/>
      <c r="N19" s="438"/>
      <c r="O19" s="438"/>
      <c r="P19" s="448"/>
      <c r="Q19" s="448"/>
      <c r="R19" s="449"/>
      <c r="S19" s="449"/>
      <c r="T19" s="450"/>
      <c r="U19" s="451"/>
      <c r="V19" s="807">
        <f>SUM(V20:Y22)</f>
        <v>919802700</v>
      </c>
      <c r="W19" s="808"/>
      <c r="X19" s="808"/>
      <c r="Y19" s="809"/>
      <c r="Z19" s="103"/>
      <c r="AB19" s="796"/>
      <c r="AC19" s="795"/>
      <c r="AD19" s="795"/>
      <c r="AE19" s="795"/>
      <c r="AF19" s="109"/>
    </row>
    <row r="20" spans="1:32" ht="17.25" customHeight="1" x14ac:dyDescent="0.2">
      <c r="A20" s="443" t="s">
        <v>40</v>
      </c>
      <c r="B20" s="399" t="s">
        <v>41</v>
      </c>
      <c r="C20" s="444" t="s">
        <v>53</v>
      </c>
      <c r="D20" s="445"/>
      <c r="E20" s="397" t="s">
        <v>84</v>
      </c>
      <c r="F20" s="243"/>
      <c r="G20" s="404"/>
      <c r="H20" s="404"/>
      <c r="I20" s="404"/>
      <c r="J20" s="404"/>
      <c r="K20" s="404"/>
      <c r="L20" s="404"/>
      <c r="M20" s="404"/>
      <c r="N20" s="404"/>
      <c r="O20" s="404"/>
      <c r="P20" s="452"/>
      <c r="Q20" s="452"/>
      <c r="R20" s="198"/>
      <c r="S20" s="198"/>
      <c r="T20" s="453"/>
      <c r="U20" s="454"/>
      <c r="V20" s="759">
        <v>58606000</v>
      </c>
      <c r="W20" s="760"/>
      <c r="X20" s="760"/>
      <c r="Y20" s="761"/>
      <c r="AA20" s="48">
        <v>38935000</v>
      </c>
      <c r="AB20" s="796"/>
      <c r="AC20" s="795"/>
      <c r="AD20" s="795"/>
      <c r="AE20" s="795"/>
      <c r="AF20" s="33"/>
    </row>
    <row r="21" spans="1:32" ht="17.25" customHeight="1" x14ac:dyDescent="0.2">
      <c r="A21" s="443" t="s">
        <v>40</v>
      </c>
      <c r="B21" s="399" t="s">
        <v>41</v>
      </c>
      <c r="C21" s="444" t="s">
        <v>41</v>
      </c>
      <c r="D21" s="445"/>
      <c r="E21" s="397" t="s">
        <v>86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52"/>
      <c r="Q21" s="452"/>
      <c r="R21" s="198"/>
      <c r="S21" s="198"/>
      <c r="T21" s="453"/>
      <c r="U21" s="454"/>
      <c r="V21" s="759">
        <v>741196700</v>
      </c>
      <c r="W21" s="760"/>
      <c r="X21" s="760"/>
      <c r="Y21" s="761"/>
      <c r="AA21" s="48">
        <v>1131985000</v>
      </c>
      <c r="AB21" s="800"/>
      <c r="AC21" s="801"/>
      <c r="AD21" s="801"/>
      <c r="AE21" s="801"/>
      <c r="AF21" s="33"/>
    </row>
    <row r="22" spans="1:32" ht="17.25" customHeight="1" x14ac:dyDescent="0.2">
      <c r="A22" s="443" t="s">
        <v>40</v>
      </c>
      <c r="B22" s="399" t="s">
        <v>41</v>
      </c>
      <c r="C22" s="444" t="s">
        <v>111</v>
      </c>
      <c r="D22" s="445"/>
      <c r="E22" s="397" t="s">
        <v>230</v>
      </c>
      <c r="F22" s="256"/>
      <c r="G22" s="404"/>
      <c r="H22" s="404"/>
      <c r="I22" s="404"/>
      <c r="J22" s="404"/>
      <c r="K22" s="404"/>
      <c r="L22" s="404"/>
      <c r="M22" s="404"/>
      <c r="N22" s="404"/>
      <c r="O22" s="404"/>
      <c r="P22" s="452"/>
      <c r="Q22" s="452"/>
      <c r="R22" s="198"/>
      <c r="S22" s="198"/>
      <c r="T22" s="453"/>
      <c r="U22" s="454"/>
      <c r="V22" s="802">
        <v>120000000</v>
      </c>
      <c r="W22" s="755"/>
      <c r="X22" s="755"/>
      <c r="Y22" s="803"/>
      <c r="AA22" s="629">
        <v>2811000000</v>
      </c>
      <c r="AC22" s="67"/>
      <c r="AD22" s="33"/>
      <c r="AE22" s="33"/>
      <c r="AF22" s="33"/>
    </row>
    <row r="23" spans="1:32" ht="6" customHeight="1" x14ac:dyDescent="0.2">
      <c r="A23" s="455"/>
      <c r="B23" s="456"/>
      <c r="C23" s="457"/>
      <c r="D23" s="458"/>
      <c r="E23" s="456"/>
      <c r="F23" s="459"/>
      <c r="G23" s="460"/>
      <c r="H23" s="460"/>
      <c r="I23" s="460"/>
      <c r="J23" s="460"/>
      <c r="K23" s="460"/>
      <c r="L23" s="460"/>
      <c r="M23" s="460"/>
      <c r="N23" s="460"/>
      <c r="O23" s="460"/>
      <c r="P23" s="461"/>
      <c r="Q23" s="461"/>
      <c r="R23" s="462"/>
      <c r="S23" s="462"/>
      <c r="T23" s="463"/>
      <c r="U23" s="464"/>
      <c r="V23" s="797"/>
      <c r="W23" s="798"/>
      <c r="X23" s="798"/>
      <c r="Y23" s="799"/>
      <c r="AC23" s="67"/>
      <c r="AD23" s="33"/>
      <c r="AE23" s="33"/>
      <c r="AF23" s="33"/>
    </row>
    <row r="24" spans="1:32" s="105" customFormat="1" ht="20.25" customHeight="1" x14ac:dyDescent="0.2">
      <c r="A24" s="465"/>
      <c r="B24" s="466"/>
      <c r="C24" s="467"/>
      <c r="D24" s="468"/>
      <c r="E24" s="466"/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1"/>
      <c r="Q24" s="471"/>
      <c r="R24" s="471"/>
      <c r="S24" s="471"/>
      <c r="T24" s="472"/>
      <c r="U24" s="473" t="s">
        <v>231</v>
      </c>
      <c r="V24" s="804">
        <f>V12-V15</f>
        <v>-2914773868</v>
      </c>
      <c r="W24" s="805"/>
      <c r="X24" s="805"/>
      <c r="Y24" s="806"/>
      <c r="Z24" s="103"/>
      <c r="AC24" s="108"/>
      <c r="AD24" s="109"/>
      <c r="AE24" s="109"/>
      <c r="AF24" s="109"/>
    </row>
    <row r="25" spans="1:32" ht="6.75" customHeight="1" x14ac:dyDescent="0.2">
      <c r="A25" s="474"/>
      <c r="B25" s="475"/>
      <c r="C25" s="476"/>
      <c r="D25" s="477"/>
      <c r="E25" s="475"/>
      <c r="F25" s="478"/>
      <c r="G25" s="479"/>
      <c r="H25" s="479"/>
      <c r="I25" s="479"/>
      <c r="J25" s="479"/>
      <c r="K25" s="479"/>
      <c r="L25" s="479"/>
      <c r="M25" s="479"/>
      <c r="N25" s="479"/>
      <c r="O25" s="479"/>
      <c r="P25" s="480"/>
      <c r="Q25" s="480"/>
      <c r="R25" s="480"/>
      <c r="S25" s="480"/>
      <c r="T25" s="481"/>
      <c r="U25" s="482"/>
      <c r="V25" s="792"/>
      <c r="W25" s="793"/>
      <c r="X25" s="793"/>
      <c r="Y25" s="794"/>
      <c r="AC25" s="67"/>
      <c r="AD25" s="33"/>
      <c r="AE25" s="33"/>
      <c r="AF25" s="33"/>
    </row>
    <row r="26" spans="1:32" s="105" customFormat="1" ht="17.25" customHeight="1" x14ac:dyDescent="0.2">
      <c r="A26" s="429" t="s">
        <v>112</v>
      </c>
      <c r="B26" s="430"/>
      <c r="C26" s="431"/>
      <c r="D26" s="432"/>
      <c r="E26" s="433" t="s">
        <v>113</v>
      </c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6"/>
      <c r="Q26" s="436"/>
      <c r="R26" s="434"/>
      <c r="S26" s="434"/>
      <c r="T26" s="439"/>
      <c r="U26" s="440"/>
      <c r="V26" s="756">
        <f>V28+V30</f>
        <v>0</v>
      </c>
      <c r="W26" s="757"/>
      <c r="X26" s="757"/>
      <c r="Y26" s="758"/>
      <c r="Z26" s="103"/>
    </row>
    <row r="27" spans="1:32" ht="4.5" customHeight="1" x14ac:dyDescent="0.2">
      <c r="A27" s="443"/>
      <c r="B27" s="399"/>
      <c r="C27" s="444"/>
      <c r="D27" s="445"/>
      <c r="E27" s="399"/>
      <c r="F27" s="256"/>
      <c r="G27" s="404"/>
      <c r="H27" s="404"/>
      <c r="I27" s="404"/>
      <c r="J27" s="404"/>
      <c r="K27" s="404"/>
      <c r="L27" s="404"/>
      <c r="M27" s="404"/>
      <c r="N27" s="404"/>
      <c r="O27" s="404"/>
      <c r="P27" s="256"/>
      <c r="Q27" s="256"/>
      <c r="R27" s="256"/>
      <c r="S27" s="256"/>
      <c r="T27" s="256"/>
      <c r="U27" s="454"/>
      <c r="V27" s="756"/>
      <c r="W27" s="757"/>
      <c r="X27" s="757"/>
      <c r="Y27" s="758"/>
      <c r="AC27" s="67"/>
      <c r="AD27" s="33"/>
      <c r="AE27" s="33"/>
      <c r="AF27" s="33"/>
    </row>
    <row r="28" spans="1:32" s="105" customFormat="1" ht="17.25" customHeight="1" x14ac:dyDescent="0.2">
      <c r="A28" s="429" t="s">
        <v>112</v>
      </c>
      <c r="B28" s="430" t="s">
        <v>53</v>
      </c>
      <c r="C28" s="431"/>
      <c r="D28" s="432"/>
      <c r="E28" s="433" t="s">
        <v>114</v>
      </c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6"/>
      <c r="Q28" s="436"/>
      <c r="R28" s="434"/>
      <c r="S28" s="434"/>
      <c r="T28" s="439"/>
      <c r="U28" s="440"/>
      <c r="V28" s="756">
        <v>0</v>
      </c>
      <c r="W28" s="757"/>
      <c r="X28" s="757"/>
      <c r="Y28" s="758"/>
      <c r="Z28" s="103"/>
    </row>
    <row r="29" spans="1:32" ht="3.75" customHeight="1" x14ac:dyDescent="0.2">
      <c r="A29" s="443"/>
      <c r="B29" s="399"/>
      <c r="C29" s="444"/>
      <c r="D29" s="445"/>
      <c r="E29" s="399"/>
      <c r="F29" s="256"/>
      <c r="G29" s="404"/>
      <c r="H29" s="404"/>
      <c r="I29" s="404"/>
      <c r="J29" s="404"/>
      <c r="K29" s="404"/>
      <c r="L29" s="404"/>
      <c r="M29" s="404"/>
      <c r="N29" s="404"/>
      <c r="O29" s="404"/>
      <c r="P29" s="256"/>
      <c r="Q29" s="256"/>
      <c r="R29" s="256"/>
      <c r="S29" s="256"/>
      <c r="T29" s="256"/>
      <c r="U29" s="454"/>
      <c r="V29" s="756"/>
      <c r="W29" s="757"/>
      <c r="X29" s="757"/>
      <c r="Y29" s="758"/>
      <c r="AC29" s="67"/>
      <c r="AD29" s="33"/>
      <c r="AE29" s="33"/>
      <c r="AF29" s="33"/>
    </row>
    <row r="30" spans="1:32" s="105" customFormat="1" ht="17.25" customHeight="1" x14ac:dyDescent="0.2">
      <c r="A30" s="429" t="s">
        <v>112</v>
      </c>
      <c r="B30" s="430" t="s">
        <v>41</v>
      </c>
      <c r="C30" s="431"/>
      <c r="D30" s="432"/>
      <c r="E30" s="433" t="s">
        <v>115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6"/>
      <c r="Q30" s="436"/>
      <c r="R30" s="434"/>
      <c r="S30" s="434"/>
      <c r="T30" s="439"/>
      <c r="U30" s="440"/>
      <c r="V30" s="756">
        <v>0</v>
      </c>
      <c r="W30" s="757"/>
      <c r="X30" s="757"/>
      <c r="Y30" s="758"/>
      <c r="Z30" s="103"/>
    </row>
    <row r="31" spans="1:32" ht="7.5" customHeight="1" x14ac:dyDescent="0.2">
      <c r="A31" s="455"/>
      <c r="B31" s="456"/>
      <c r="C31" s="457"/>
      <c r="D31" s="458"/>
      <c r="E31" s="456"/>
      <c r="F31" s="407"/>
      <c r="G31" s="460"/>
      <c r="H31" s="460"/>
      <c r="I31" s="460"/>
      <c r="J31" s="460"/>
      <c r="K31" s="460"/>
      <c r="L31" s="460"/>
      <c r="M31" s="460"/>
      <c r="N31" s="460"/>
      <c r="O31" s="460"/>
      <c r="P31" s="407"/>
      <c r="Q31" s="407"/>
      <c r="R31" s="407"/>
      <c r="S31" s="407"/>
      <c r="T31" s="407"/>
      <c r="U31" s="483"/>
      <c r="V31" s="797"/>
      <c r="W31" s="798"/>
      <c r="X31" s="798"/>
      <c r="Y31" s="799"/>
      <c r="AC31" s="67"/>
      <c r="AD31" s="33"/>
      <c r="AE31" s="33"/>
      <c r="AF31" s="33"/>
    </row>
    <row r="32" spans="1:32" s="105" customFormat="1" ht="19.5" customHeight="1" x14ac:dyDescent="0.2">
      <c r="A32" s="465"/>
      <c r="B32" s="466"/>
      <c r="C32" s="467"/>
      <c r="D32" s="468"/>
      <c r="E32" s="466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1"/>
      <c r="Q32" s="471"/>
      <c r="R32" s="471"/>
      <c r="S32" s="471"/>
      <c r="T32" s="472"/>
      <c r="U32" s="473" t="s">
        <v>232</v>
      </c>
      <c r="V32" s="804">
        <f>V28-V30</f>
        <v>0</v>
      </c>
      <c r="W32" s="805"/>
      <c r="X32" s="805"/>
      <c r="Y32" s="806"/>
      <c r="Z32" s="103"/>
      <c r="AC32" s="108"/>
      <c r="AD32" s="109"/>
      <c r="AE32" s="109"/>
      <c r="AF32" s="109"/>
    </row>
    <row r="33" spans="1:31" ht="13.5" customHeight="1" x14ac:dyDescent="0.2">
      <c r="A33" s="749" t="s">
        <v>233</v>
      </c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1"/>
    </row>
    <row r="34" spans="1:31" ht="17.25" customHeight="1" x14ac:dyDescent="0.2">
      <c r="A34" s="812" t="s">
        <v>234</v>
      </c>
      <c r="B34" s="748"/>
      <c r="C34" s="748"/>
      <c r="D34" s="748"/>
      <c r="E34" s="748"/>
      <c r="F34" s="748"/>
      <c r="G34" s="748"/>
      <c r="H34" s="748"/>
      <c r="I34" s="748"/>
      <c r="J34" s="748"/>
      <c r="K34" s="748"/>
      <c r="L34" s="748"/>
      <c r="M34" s="748"/>
      <c r="N34" s="748"/>
      <c r="O34" s="748"/>
      <c r="P34" s="748"/>
      <c r="Q34" s="748"/>
      <c r="R34" s="748"/>
      <c r="S34" s="748"/>
      <c r="T34" s="748"/>
      <c r="U34" s="748"/>
      <c r="V34" s="748"/>
      <c r="W34" s="748"/>
      <c r="X34" s="748"/>
      <c r="Y34" s="813"/>
    </row>
    <row r="35" spans="1:31" s="29" customFormat="1" ht="18.75" customHeight="1" x14ac:dyDescent="0.2">
      <c r="A35" s="814" t="s">
        <v>235</v>
      </c>
      <c r="B35" s="815"/>
      <c r="C35" s="816" t="s">
        <v>3</v>
      </c>
      <c r="D35" s="816"/>
      <c r="E35" s="816"/>
      <c r="F35" s="816"/>
      <c r="G35" s="816"/>
      <c r="H35" s="816"/>
      <c r="I35" s="816"/>
      <c r="J35" s="816" t="s">
        <v>219</v>
      </c>
      <c r="K35" s="816"/>
      <c r="L35" s="816"/>
      <c r="M35" s="816"/>
      <c r="N35" s="816"/>
      <c r="O35" s="816"/>
      <c r="P35" s="816"/>
      <c r="Q35" s="816"/>
      <c r="R35" s="816"/>
      <c r="S35" s="816"/>
      <c r="T35" s="816"/>
      <c r="U35" s="816"/>
      <c r="V35" s="817" t="s">
        <v>28</v>
      </c>
      <c r="W35" s="817"/>
      <c r="X35" s="817"/>
      <c r="Y35" s="818"/>
      <c r="Z35" s="206"/>
    </row>
    <row r="36" spans="1:31" s="29" customFormat="1" ht="18.75" customHeight="1" x14ac:dyDescent="0.2">
      <c r="A36" s="814"/>
      <c r="B36" s="815"/>
      <c r="C36" s="816"/>
      <c r="D36" s="816"/>
      <c r="E36" s="816"/>
      <c r="F36" s="816"/>
      <c r="G36" s="816"/>
      <c r="H36" s="816"/>
      <c r="I36" s="816"/>
      <c r="J36" s="815" t="s">
        <v>213</v>
      </c>
      <c r="K36" s="815"/>
      <c r="L36" s="815"/>
      <c r="M36" s="816" t="s">
        <v>214</v>
      </c>
      <c r="N36" s="816"/>
      <c r="O36" s="816"/>
      <c r="P36" s="816" t="s">
        <v>216</v>
      </c>
      <c r="Q36" s="816"/>
      <c r="R36" s="816"/>
      <c r="S36" s="816" t="s">
        <v>215</v>
      </c>
      <c r="T36" s="816"/>
      <c r="U36" s="816"/>
      <c r="V36" s="817"/>
      <c r="W36" s="817"/>
      <c r="X36" s="817"/>
      <c r="Y36" s="818"/>
      <c r="Z36" s="206"/>
    </row>
    <row r="37" spans="1:31" s="13" customFormat="1" ht="18.75" customHeight="1" x14ac:dyDescent="0.2">
      <c r="A37" s="819">
        <v>1</v>
      </c>
      <c r="B37" s="820"/>
      <c r="C37" s="762">
        <v>2</v>
      </c>
      <c r="D37" s="762"/>
      <c r="E37" s="762"/>
      <c r="F37" s="762"/>
      <c r="G37" s="762"/>
      <c r="H37" s="762"/>
      <c r="I37" s="762"/>
      <c r="J37" s="820">
        <v>3</v>
      </c>
      <c r="K37" s="820"/>
      <c r="L37" s="820"/>
      <c r="M37" s="762">
        <v>4</v>
      </c>
      <c r="N37" s="762"/>
      <c r="O37" s="762"/>
      <c r="P37" s="762">
        <v>5</v>
      </c>
      <c r="Q37" s="762"/>
      <c r="R37" s="762"/>
      <c r="S37" s="762">
        <v>6</v>
      </c>
      <c r="T37" s="762"/>
      <c r="U37" s="762"/>
      <c r="V37" s="763" t="s">
        <v>236</v>
      </c>
      <c r="W37" s="763"/>
      <c r="X37" s="763"/>
      <c r="Y37" s="764"/>
      <c r="Z37" s="45"/>
    </row>
    <row r="38" spans="1:31" s="13" customFormat="1" ht="18.75" customHeight="1" x14ac:dyDescent="0.2">
      <c r="A38" s="484" t="s">
        <v>34</v>
      </c>
      <c r="B38" s="485"/>
      <c r="C38" s="486" t="s">
        <v>237</v>
      </c>
      <c r="D38" s="487"/>
      <c r="E38" s="488"/>
      <c r="F38" s="489"/>
      <c r="G38" s="489"/>
      <c r="H38" s="489"/>
      <c r="I38" s="489"/>
      <c r="J38" s="821">
        <v>0</v>
      </c>
      <c r="K38" s="821"/>
      <c r="L38" s="821"/>
      <c r="M38" s="821">
        <v>0</v>
      </c>
      <c r="N38" s="821"/>
      <c r="O38" s="821"/>
      <c r="P38" s="821">
        <v>0</v>
      </c>
      <c r="Q38" s="821"/>
      <c r="R38" s="821"/>
      <c r="S38" s="821">
        <v>0</v>
      </c>
      <c r="T38" s="821"/>
      <c r="U38" s="821"/>
      <c r="V38" s="822">
        <f>SUM(J38:U38)</f>
        <v>0</v>
      </c>
      <c r="W38" s="822"/>
      <c r="X38" s="822"/>
      <c r="Y38" s="823"/>
      <c r="Z38" s="45"/>
    </row>
    <row r="39" spans="1:31" s="13" customFormat="1" ht="18.75" customHeight="1" x14ac:dyDescent="0.2">
      <c r="A39" s="490" t="s">
        <v>35</v>
      </c>
      <c r="B39" s="491">
        <v>1</v>
      </c>
      <c r="C39" s="492" t="s">
        <v>116</v>
      </c>
      <c r="D39" s="493"/>
      <c r="E39" s="494"/>
      <c r="F39" s="495"/>
      <c r="G39" s="495"/>
      <c r="H39" s="495"/>
      <c r="I39" s="495"/>
      <c r="J39" s="826">
        <v>427493822</v>
      </c>
      <c r="K39" s="827"/>
      <c r="L39" s="828"/>
      <c r="M39" s="826">
        <v>569991762</v>
      </c>
      <c r="N39" s="827"/>
      <c r="O39" s="828"/>
      <c r="P39" s="826">
        <v>569991762</v>
      </c>
      <c r="Q39" s="827"/>
      <c r="R39" s="828"/>
      <c r="S39" s="826">
        <v>427493822</v>
      </c>
      <c r="T39" s="827"/>
      <c r="U39" s="828"/>
      <c r="V39" s="827">
        <f>SUM(J39:U39)</f>
        <v>1994971168</v>
      </c>
      <c r="W39" s="827"/>
      <c r="X39" s="827"/>
      <c r="Y39" s="829"/>
      <c r="Z39" s="45"/>
      <c r="AC39" s="830">
        <f>SUM(V39:Y40)</f>
        <v>2916294283</v>
      </c>
      <c r="AD39" s="831"/>
      <c r="AE39" s="831"/>
    </row>
    <row r="40" spans="1:31" s="13" customFormat="1" ht="18.75" customHeight="1" x14ac:dyDescent="0.2">
      <c r="A40" s="490" t="s">
        <v>35</v>
      </c>
      <c r="B40" s="491" t="s">
        <v>41</v>
      </c>
      <c r="C40" s="493" t="s">
        <v>117</v>
      </c>
      <c r="D40" s="496"/>
      <c r="E40" s="494"/>
      <c r="F40" s="495"/>
      <c r="G40" s="495"/>
      <c r="H40" s="495"/>
      <c r="I40" s="495"/>
      <c r="J40" s="832">
        <f>RKP!G83</f>
        <v>173588165</v>
      </c>
      <c r="K40" s="833"/>
      <c r="L40" s="834"/>
      <c r="M40" s="835">
        <f>RKP!H83</f>
        <v>379931550</v>
      </c>
      <c r="N40" s="835"/>
      <c r="O40" s="835"/>
      <c r="P40" s="835">
        <f>RKP!I83</f>
        <v>253671300</v>
      </c>
      <c r="Q40" s="835"/>
      <c r="R40" s="835"/>
      <c r="S40" s="835">
        <f>RKP!J83</f>
        <v>114132100</v>
      </c>
      <c r="T40" s="835"/>
      <c r="U40" s="835"/>
      <c r="V40" s="827">
        <f>SUM(J40:U40)</f>
        <v>921323115</v>
      </c>
      <c r="W40" s="827"/>
      <c r="X40" s="827"/>
      <c r="Y40" s="829"/>
      <c r="Z40" s="45">
        <f>V40-V19</f>
        <v>1520415</v>
      </c>
      <c r="AC40" s="824">
        <f>SUM(V39:Y40)</f>
        <v>2916294283</v>
      </c>
      <c r="AD40" s="825"/>
      <c r="AE40" s="825"/>
    </row>
    <row r="41" spans="1:31" s="13" customFormat="1" ht="18.75" customHeight="1" x14ac:dyDescent="0.2">
      <c r="A41" s="490" t="s">
        <v>36</v>
      </c>
      <c r="B41" s="491" t="s">
        <v>53</v>
      </c>
      <c r="C41" s="493" t="s">
        <v>238</v>
      </c>
      <c r="D41" s="496"/>
      <c r="E41" s="494"/>
      <c r="F41" s="495"/>
      <c r="G41" s="495"/>
      <c r="H41" s="495"/>
      <c r="I41" s="495"/>
      <c r="J41" s="836">
        <v>0</v>
      </c>
      <c r="K41" s="768"/>
      <c r="L41" s="837"/>
      <c r="M41" s="838">
        <v>0</v>
      </c>
      <c r="N41" s="838"/>
      <c r="O41" s="838"/>
      <c r="P41" s="838">
        <v>0</v>
      </c>
      <c r="Q41" s="838"/>
      <c r="R41" s="838"/>
      <c r="S41" s="838">
        <v>0</v>
      </c>
      <c r="T41" s="838"/>
      <c r="U41" s="838"/>
      <c r="V41" s="768">
        <f>SUM(J41:U41)</f>
        <v>0</v>
      </c>
      <c r="W41" s="768"/>
      <c r="X41" s="768"/>
      <c r="Y41" s="769"/>
      <c r="Z41" s="45"/>
    </row>
    <row r="42" spans="1:31" s="13" customFormat="1" ht="18.75" customHeight="1" x14ac:dyDescent="0.2">
      <c r="A42" s="497" t="s">
        <v>36</v>
      </c>
      <c r="B42" s="498" t="s">
        <v>41</v>
      </c>
      <c r="C42" s="499" t="s">
        <v>239</v>
      </c>
      <c r="D42" s="500"/>
      <c r="E42" s="501"/>
      <c r="F42" s="502"/>
      <c r="G42" s="502"/>
      <c r="H42" s="502"/>
      <c r="I42" s="502"/>
      <c r="J42" s="839">
        <v>0</v>
      </c>
      <c r="K42" s="770"/>
      <c r="L42" s="840"/>
      <c r="M42" s="841">
        <v>0</v>
      </c>
      <c r="N42" s="841"/>
      <c r="O42" s="841"/>
      <c r="P42" s="841">
        <v>0</v>
      </c>
      <c r="Q42" s="841"/>
      <c r="R42" s="841"/>
      <c r="S42" s="841">
        <v>0</v>
      </c>
      <c r="T42" s="841"/>
      <c r="U42" s="841"/>
      <c r="V42" s="770">
        <f>SUM(J42:U42)</f>
        <v>0</v>
      </c>
      <c r="W42" s="770"/>
      <c r="X42" s="770"/>
      <c r="Y42" s="771"/>
      <c r="Z42" s="45"/>
    </row>
    <row r="43" spans="1:31" s="13" customFormat="1" ht="11.25" customHeight="1" x14ac:dyDescent="0.2">
      <c r="A43" s="396"/>
      <c r="B43" s="397"/>
      <c r="C43" s="243"/>
      <c r="D43" s="398"/>
      <c r="E43" s="399"/>
      <c r="F43" s="400"/>
      <c r="G43" s="400"/>
      <c r="H43" s="400"/>
      <c r="I43" s="512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6"/>
      <c r="W43" s="766"/>
      <c r="X43" s="766"/>
      <c r="Y43" s="767"/>
      <c r="Z43" s="45"/>
    </row>
    <row r="44" spans="1:31" ht="18.75" customHeight="1" x14ac:dyDescent="0.2">
      <c r="A44" s="304"/>
      <c r="B44" s="243"/>
      <c r="C44" s="243"/>
      <c r="D44" s="243"/>
      <c r="E44" s="243"/>
      <c r="F44" s="243"/>
      <c r="G44" s="243"/>
      <c r="H44" s="243"/>
      <c r="I44" s="243"/>
      <c r="J44" s="755"/>
      <c r="K44" s="747"/>
      <c r="L44" s="747"/>
      <c r="M44" s="755"/>
      <c r="N44" s="747"/>
      <c r="O44" s="747"/>
      <c r="P44" s="533"/>
      <c r="Q44" s="243"/>
      <c r="R44" s="243"/>
      <c r="S44" s="663" t="s">
        <v>440</v>
      </c>
      <c r="T44" s="243"/>
      <c r="U44" s="663"/>
      <c r="V44" s="243"/>
      <c r="W44" s="243"/>
      <c r="X44" s="243"/>
      <c r="Y44" s="401"/>
    </row>
    <row r="45" spans="1:31" ht="9" customHeight="1" x14ac:dyDescent="0.2">
      <c r="A45" s="304"/>
      <c r="B45" s="243"/>
      <c r="C45" s="243"/>
      <c r="D45" s="243"/>
      <c r="E45" s="243"/>
      <c r="F45" s="243"/>
      <c r="G45" s="243"/>
      <c r="H45" s="243"/>
      <c r="I45" s="243"/>
      <c r="J45" s="664"/>
      <c r="K45" s="663"/>
      <c r="L45" s="663"/>
      <c r="M45" s="755"/>
      <c r="N45" s="747"/>
      <c r="O45" s="747"/>
      <c r="P45" s="747"/>
      <c r="Q45" s="747"/>
      <c r="R45" s="747"/>
      <c r="S45" s="663"/>
      <c r="T45" s="243"/>
      <c r="U45" s="663"/>
      <c r="V45" s="243"/>
      <c r="W45" s="243"/>
      <c r="X45" s="243"/>
      <c r="Y45" s="401"/>
    </row>
    <row r="46" spans="1:31" ht="15" customHeight="1" x14ac:dyDescent="0.2">
      <c r="A46" s="304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663" t="s">
        <v>441</v>
      </c>
      <c r="T46" s="243"/>
      <c r="U46" s="663"/>
      <c r="V46" s="243"/>
      <c r="W46" s="243"/>
      <c r="X46" s="243"/>
      <c r="Y46" s="401"/>
    </row>
    <row r="47" spans="1:31" ht="16.5" customHeight="1" x14ac:dyDescent="0.2">
      <c r="A47" s="402"/>
      <c r="B47" s="397"/>
      <c r="C47" s="243"/>
      <c r="D47" s="243"/>
      <c r="E47" s="243"/>
      <c r="F47" s="244"/>
      <c r="G47" s="244"/>
      <c r="H47" s="244"/>
      <c r="I47" s="403"/>
      <c r="J47" s="244"/>
      <c r="K47" s="244"/>
      <c r="L47" s="244"/>
      <c r="M47" s="244"/>
      <c r="N47" s="244"/>
      <c r="O47" s="244"/>
      <c r="P47" s="244"/>
      <c r="Q47" s="244"/>
      <c r="R47" s="244"/>
      <c r="S47" s="663" t="s">
        <v>442</v>
      </c>
      <c r="T47" s="243"/>
      <c r="U47" s="663"/>
      <c r="V47" s="243"/>
      <c r="W47" s="243"/>
      <c r="X47" s="243"/>
      <c r="Y47" s="401"/>
    </row>
    <row r="48" spans="1:31" ht="13.5" customHeight="1" x14ac:dyDescent="0.2">
      <c r="A48" s="402"/>
      <c r="B48" s="397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663" t="s">
        <v>443</v>
      </c>
      <c r="T48" s="243"/>
      <c r="U48" s="663"/>
      <c r="V48" s="243"/>
      <c r="W48" s="243"/>
      <c r="X48" s="243"/>
      <c r="Y48" s="401"/>
    </row>
    <row r="49" spans="1:27" ht="14.25" customHeight="1" x14ac:dyDescent="0.2">
      <c r="A49" s="402"/>
      <c r="B49" s="397"/>
      <c r="C49" s="243"/>
      <c r="D49" s="243"/>
      <c r="E49" s="243"/>
      <c r="F49" s="244"/>
      <c r="G49" s="244"/>
      <c r="H49" s="244"/>
      <c r="I49" s="244"/>
      <c r="J49" s="244"/>
      <c r="K49" s="403"/>
      <c r="L49" s="244"/>
      <c r="M49" s="244"/>
      <c r="N49" s="244"/>
      <c r="O49" s="244"/>
      <c r="P49" s="244"/>
      <c r="Q49" s="244"/>
      <c r="R49" s="244"/>
      <c r="S49" s="663"/>
      <c r="T49" s="243"/>
      <c r="U49" s="663"/>
      <c r="V49" s="243"/>
      <c r="W49" s="243"/>
      <c r="X49" s="243"/>
      <c r="Y49" s="401"/>
      <c r="AA49" s="48"/>
    </row>
    <row r="50" spans="1:27" ht="34.5" customHeight="1" x14ac:dyDescent="0.2">
      <c r="A50" s="304"/>
      <c r="B50" s="243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663"/>
      <c r="T50" s="404"/>
      <c r="U50" s="663"/>
      <c r="V50" s="404"/>
      <c r="W50" s="404"/>
      <c r="X50" s="404"/>
      <c r="Y50" s="405"/>
    </row>
    <row r="51" spans="1:27" s="667" customFormat="1" ht="15.75" customHeight="1" x14ac:dyDescent="0.2">
      <c r="A51" s="406"/>
      <c r="B51" s="397"/>
      <c r="C51" s="243"/>
      <c r="D51" s="243"/>
      <c r="E51" s="243"/>
      <c r="F51" s="663"/>
      <c r="G51" s="663"/>
      <c r="H51" s="663"/>
      <c r="I51" s="403"/>
      <c r="J51" s="244"/>
      <c r="K51" s="663"/>
      <c r="L51" s="663"/>
      <c r="M51" s="663"/>
      <c r="N51" s="663"/>
      <c r="O51" s="663"/>
      <c r="P51" s="663"/>
      <c r="Q51" s="663"/>
      <c r="R51" s="663"/>
      <c r="S51" s="662" t="s">
        <v>444</v>
      </c>
      <c r="T51" s="705"/>
      <c r="U51" s="662"/>
      <c r="V51" s="705"/>
      <c r="W51" s="705"/>
      <c r="X51" s="243"/>
      <c r="Y51" s="401"/>
      <c r="Z51" s="666"/>
    </row>
    <row r="52" spans="1:27" s="667" customFormat="1" ht="18.75" customHeight="1" x14ac:dyDescent="0.2">
      <c r="A52" s="406"/>
      <c r="B52" s="397"/>
      <c r="C52" s="243"/>
      <c r="D52" s="243"/>
      <c r="E52" s="243"/>
      <c r="F52" s="663"/>
      <c r="G52" s="663"/>
      <c r="H52" s="663"/>
      <c r="I52" s="403"/>
      <c r="J52" s="244"/>
      <c r="K52" s="663"/>
      <c r="L52" s="663"/>
      <c r="M52" s="663"/>
      <c r="N52" s="663"/>
      <c r="O52" s="663"/>
      <c r="P52" s="663"/>
      <c r="Q52" s="663"/>
      <c r="R52" s="663"/>
      <c r="S52" s="663" t="s">
        <v>257</v>
      </c>
      <c r="T52" s="705"/>
      <c r="U52" s="663"/>
      <c r="V52" s="706"/>
      <c r="W52" s="706"/>
      <c r="X52" s="706"/>
      <c r="Y52" s="401"/>
      <c r="Z52" s="666"/>
    </row>
    <row r="53" spans="1:27" ht="21.75" customHeight="1" x14ac:dyDescent="0.2">
      <c r="A53" s="707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708" t="s">
        <v>445</v>
      </c>
      <c r="T53" s="407"/>
      <c r="U53" s="708"/>
      <c r="V53" s="709"/>
      <c r="W53" s="709"/>
      <c r="X53" s="709"/>
      <c r="Y53" s="710"/>
    </row>
    <row r="54" spans="1:27" ht="19.5" customHeight="1" x14ac:dyDescent="0.2">
      <c r="A54" s="749" t="s">
        <v>435</v>
      </c>
      <c r="B54" s="750"/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1"/>
    </row>
    <row r="55" spans="1:27" ht="5.25" customHeight="1" x14ac:dyDescent="0.2">
      <c r="A55" s="665"/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711"/>
      <c r="Y55" s="712"/>
    </row>
    <row r="56" spans="1:27" ht="18.75" customHeight="1" x14ac:dyDescent="0.2">
      <c r="A56" s="713" t="s">
        <v>34</v>
      </c>
      <c r="B56" s="752" t="s">
        <v>436</v>
      </c>
      <c r="C56" s="752"/>
      <c r="D56" s="752"/>
      <c r="E56" s="752"/>
      <c r="F56" s="752"/>
      <c r="G56" s="752"/>
      <c r="H56" s="752"/>
      <c r="I56" s="752"/>
      <c r="J56" s="398" t="s">
        <v>89</v>
      </c>
      <c r="K56" s="244" t="str">
        <f>[1]RKP!I80</f>
        <v>Drs. M. KRISTIJADI, M.Si</v>
      </c>
      <c r="L56" s="244"/>
      <c r="M56" s="244"/>
      <c r="N56" s="244"/>
      <c r="O56" s="243"/>
      <c r="P56" s="243"/>
      <c r="Q56" s="753" t="s">
        <v>34</v>
      </c>
      <c r="R56" s="754" t="s">
        <v>196</v>
      </c>
      <c r="S56" s="754"/>
      <c r="T56" s="754"/>
      <c r="U56" s="754"/>
      <c r="V56" s="243"/>
      <c r="W56" s="243"/>
      <c r="X56" s="243"/>
      <c r="Y56" s="401"/>
    </row>
    <row r="57" spans="1:27" ht="18.75" customHeight="1" x14ac:dyDescent="0.2">
      <c r="A57" s="714"/>
      <c r="B57" s="243" t="s">
        <v>437</v>
      </c>
      <c r="C57" s="404"/>
      <c r="D57" s="404"/>
      <c r="E57" s="404"/>
      <c r="F57" s="404"/>
      <c r="J57" s="398" t="s">
        <v>89</v>
      </c>
      <c r="K57" s="244" t="s">
        <v>438</v>
      </c>
      <c r="L57" s="404"/>
      <c r="M57" s="404"/>
      <c r="N57" s="404"/>
      <c r="O57" s="243"/>
      <c r="P57" s="243"/>
      <c r="Q57" s="753"/>
      <c r="R57" s="754"/>
      <c r="S57" s="754"/>
      <c r="T57" s="754"/>
      <c r="U57" s="754"/>
      <c r="V57" s="404"/>
      <c r="W57" s="404"/>
      <c r="X57" s="404"/>
      <c r="Y57" s="405"/>
    </row>
    <row r="58" spans="1:27" ht="9.75" customHeight="1" x14ac:dyDescent="0.2">
      <c r="A58" s="714"/>
      <c r="B58" s="243"/>
      <c r="C58" s="404"/>
      <c r="D58" s="404"/>
      <c r="E58" s="404"/>
      <c r="F58" s="404"/>
      <c r="J58" s="404"/>
      <c r="K58" s="404"/>
      <c r="L58" s="404"/>
      <c r="M58" s="404"/>
      <c r="N58" s="404"/>
      <c r="O58" s="243"/>
      <c r="P58" s="243"/>
      <c r="Q58" s="715"/>
      <c r="R58" s="404"/>
      <c r="S58" s="404"/>
      <c r="T58" s="404"/>
      <c r="U58" s="663"/>
      <c r="V58" s="404"/>
      <c r="W58" s="404"/>
      <c r="X58" s="404"/>
      <c r="Y58" s="405"/>
    </row>
    <row r="59" spans="1:27" ht="18.75" customHeight="1" x14ac:dyDescent="0.2">
      <c r="A59" s="713" t="s">
        <v>35</v>
      </c>
      <c r="B59" s="243" t="s">
        <v>439</v>
      </c>
      <c r="C59" s="404"/>
      <c r="D59" s="404"/>
      <c r="E59" s="404"/>
      <c r="F59" s="404"/>
      <c r="J59" s="398" t="s">
        <v>89</v>
      </c>
      <c r="K59" s="243" t="s">
        <v>386</v>
      </c>
      <c r="L59" s="404"/>
      <c r="M59" s="404"/>
      <c r="N59" s="404"/>
      <c r="O59" s="243"/>
      <c r="P59" s="243"/>
      <c r="Q59" s="753" t="s">
        <v>35</v>
      </c>
      <c r="R59" s="754" t="s">
        <v>196</v>
      </c>
      <c r="S59" s="754"/>
      <c r="T59" s="754"/>
      <c r="U59" s="754"/>
      <c r="V59" s="404"/>
      <c r="W59" s="404"/>
      <c r="X59" s="404"/>
      <c r="Y59" s="405"/>
    </row>
    <row r="60" spans="1:27" s="667" customFormat="1" ht="18.75" customHeight="1" x14ac:dyDescent="0.2">
      <c r="A60" s="406"/>
      <c r="B60" s="243" t="s">
        <v>437</v>
      </c>
      <c r="C60" s="243"/>
      <c r="D60" s="243"/>
      <c r="E60" s="243"/>
      <c r="F60" s="663"/>
      <c r="J60" s="398" t="s">
        <v>89</v>
      </c>
      <c r="K60" s="243" t="s">
        <v>431</v>
      </c>
      <c r="L60" s="663"/>
      <c r="M60" s="663"/>
      <c r="N60" s="663"/>
      <c r="O60" s="663"/>
      <c r="P60" s="663"/>
      <c r="Q60" s="753"/>
      <c r="R60" s="754"/>
      <c r="S60" s="754"/>
      <c r="T60" s="754"/>
      <c r="U60" s="754"/>
      <c r="V60" s="705"/>
      <c r="W60" s="705"/>
      <c r="X60" s="243"/>
      <c r="Y60" s="401"/>
      <c r="Z60" s="666"/>
    </row>
    <row r="61" spans="1:27" s="667" customFormat="1" ht="3.75" customHeight="1" thickBot="1" x14ac:dyDescent="0.25">
      <c r="A61" s="408"/>
      <c r="B61" s="409"/>
      <c r="C61" s="410"/>
      <c r="D61" s="410"/>
      <c r="E61" s="410"/>
      <c r="F61" s="411"/>
      <c r="G61" s="411"/>
      <c r="H61" s="411"/>
      <c r="I61" s="412"/>
      <c r="J61" s="413"/>
      <c r="K61" s="411"/>
      <c r="L61" s="411"/>
      <c r="M61" s="411"/>
      <c r="N61" s="411"/>
      <c r="O61" s="411"/>
      <c r="P61" s="411"/>
      <c r="Q61" s="411"/>
      <c r="R61" s="411"/>
      <c r="S61" s="414"/>
      <c r="T61" s="414"/>
      <c r="U61" s="411"/>
      <c r="V61" s="414"/>
      <c r="W61" s="414"/>
      <c r="X61" s="410"/>
      <c r="Y61" s="415"/>
      <c r="Z61" s="666"/>
    </row>
    <row r="62" spans="1:27" ht="17.25" thickTop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</sheetData>
  <mergeCells count="98">
    <mergeCell ref="J44:L44"/>
    <mergeCell ref="J41:L41"/>
    <mergeCell ref="M41:O41"/>
    <mergeCell ref="P41:R41"/>
    <mergeCell ref="S41:U41"/>
    <mergeCell ref="J42:L42"/>
    <mergeCell ref="M42:O42"/>
    <mergeCell ref="P42:R42"/>
    <mergeCell ref="S42:U42"/>
    <mergeCell ref="J43:L43"/>
    <mergeCell ref="M43:O43"/>
    <mergeCell ref="P43:R43"/>
    <mergeCell ref="AC40:AE40"/>
    <mergeCell ref="J39:L39"/>
    <mergeCell ref="M39:O39"/>
    <mergeCell ref="P39:R39"/>
    <mergeCell ref="S39:U39"/>
    <mergeCell ref="V39:Y39"/>
    <mergeCell ref="AC39:AE39"/>
    <mergeCell ref="J40:L40"/>
    <mergeCell ref="M40:O40"/>
    <mergeCell ref="P40:R40"/>
    <mergeCell ref="S40:U40"/>
    <mergeCell ref="V40:Y40"/>
    <mergeCell ref="J38:L38"/>
    <mergeCell ref="M38:O38"/>
    <mergeCell ref="P38:R38"/>
    <mergeCell ref="S38:U38"/>
    <mergeCell ref="V38:Y38"/>
    <mergeCell ref="A37:B37"/>
    <mergeCell ref="C37:I37"/>
    <mergeCell ref="J37:L37"/>
    <mergeCell ref="M37:O37"/>
    <mergeCell ref="P37:R37"/>
    <mergeCell ref="A35:B36"/>
    <mergeCell ref="C35:I36"/>
    <mergeCell ref="J35:U35"/>
    <mergeCell ref="V35:Y36"/>
    <mergeCell ref="J36:L36"/>
    <mergeCell ref="M36:O36"/>
    <mergeCell ref="P36:R36"/>
    <mergeCell ref="S36:U36"/>
    <mergeCell ref="AB20:AE20"/>
    <mergeCell ref="V25:Y25"/>
    <mergeCell ref="V32:Y32"/>
    <mergeCell ref="A33:Y33"/>
    <mergeCell ref="A34:Y34"/>
    <mergeCell ref="AB17:AE17"/>
    <mergeCell ref="V18:Y18"/>
    <mergeCell ref="AB18:AE18"/>
    <mergeCell ref="V31:Y31"/>
    <mergeCell ref="V21:Y21"/>
    <mergeCell ref="AB21:AE21"/>
    <mergeCell ref="V22:Y22"/>
    <mergeCell ref="V23:Y23"/>
    <mergeCell ref="V24:Y24"/>
    <mergeCell ref="V30:Y30"/>
    <mergeCell ref="V26:Y26"/>
    <mergeCell ref="V27:Y27"/>
    <mergeCell ref="V28:Y28"/>
    <mergeCell ref="V29:Y29"/>
    <mergeCell ref="V19:Y19"/>
    <mergeCell ref="AB19:AE19"/>
    <mergeCell ref="V11:Y11"/>
    <mergeCell ref="V12:Y12"/>
    <mergeCell ref="V14:Y14"/>
    <mergeCell ref="V16:Y16"/>
    <mergeCell ref="AB16:AE16"/>
    <mergeCell ref="A8:C9"/>
    <mergeCell ref="D8:U9"/>
    <mergeCell ref="V8:Y9"/>
    <mergeCell ref="A10:C10"/>
    <mergeCell ref="D10:U10"/>
    <mergeCell ref="V10:Y10"/>
    <mergeCell ref="A1:U1"/>
    <mergeCell ref="V1:Y2"/>
    <mergeCell ref="A2:U2"/>
    <mergeCell ref="A3:Y3"/>
    <mergeCell ref="A4:Y4"/>
    <mergeCell ref="M45:O45"/>
    <mergeCell ref="P45:R45"/>
    <mergeCell ref="M44:O44"/>
    <mergeCell ref="V15:Y15"/>
    <mergeCell ref="V13:Y13"/>
    <mergeCell ref="V17:Y17"/>
    <mergeCell ref="V20:Y20"/>
    <mergeCell ref="S37:U37"/>
    <mergeCell ref="V37:Y37"/>
    <mergeCell ref="S43:U43"/>
    <mergeCell ref="V43:Y43"/>
    <mergeCell ref="V41:Y41"/>
    <mergeCell ref="V42:Y42"/>
    <mergeCell ref="A54:Y54"/>
    <mergeCell ref="B56:I56"/>
    <mergeCell ref="Q56:Q57"/>
    <mergeCell ref="R56:U57"/>
    <mergeCell ref="Q59:Q60"/>
    <mergeCell ref="R59:U60"/>
  </mergeCells>
  <pageMargins left="0.84" right="0.118110236220472" top="0.511811023622047" bottom="0.7" header="0" footer="0.511811023622047"/>
  <pageSetup paperSize="5" scale="90" orientation="portrait" horizontalDpi="4294967292" r:id="rId1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4"/>
  <sheetViews>
    <sheetView showGridLines="0" view="pageBreakPreview" topLeftCell="A81" workbookViewId="0">
      <selection activeCell="K90" sqref="K90"/>
    </sheetView>
  </sheetViews>
  <sheetFormatPr defaultRowHeight="12.75" x14ac:dyDescent="0.2"/>
  <cols>
    <col min="1" max="1" width="4.5703125" style="210" customWidth="1"/>
    <col min="2" max="2" width="4.28515625" style="264" customWidth="1"/>
    <col min="3" max="3" width="25.42578125" style="210" customWidth="1"/>
    <col min="4" max="4" width="10.5703125" style="242" customWidth="1"/>
    <col min="5" max="5" width="8.28515625" style="210" customWidth="1"/>
    <col min="6" max="6" width="6.7109375" style="210" customWidth="1"/>
    <col min="7" max="7" width="11.140625" style="210" customWidth="1"/>
    <col min="8" max="8" width="12.28515625" style="210" customWidth="1"/>
    <col min="9" max="9" width="12" style="210" customWidth="1"/>
    <col min="10" max="10" width="10.42578125" style="210" customWidth="1"/>
    <col min="11" max="11" width="11.85546875" style="210" customWidth="1"/>
    <col min="12" max="12" width="13.42578125" style="209" customWidth="1"/>
    <col min="13" max="13" width="16" style="210" customWidth="1"/>
    <col min="14" max="14" width="12.28515625" style="210" customWidth="1"/>
    <col min="15" max="16384" width="9.140625" style="210"/>
  </cols>
  <sheetData>
    <row r="1" spans="1:14" ht="16.5" thickTop="1" x14ac:dyDescent="0.2">
      <c r="A1" s="854" t="s">
        <v>193</v>
      </c>
      <c r="B1" s="855"/>
      <c r="C1" s="855"/>
      <c r="D1" s="855"/>
      <c r="E1" s="855"/>
      <c r="F1" s="855"/>
      <c r="G1" s="855"/>
      <c r="H1" s="855"/>
      <c r="I1" s="856"/>
      <c r="J1" s="773" t="s">
        <v>217</v>
      </c>
      <c r="K1" s="776"/>
    </row>
    <row r="2" spans="1:14" ht="15.75" x14ac:dyDescent="0.2">
      <c r="A2" s="859" t="s">
        <v>87</v>
      </c>
      <c r="B2" s="860"/>
      <c r="C2" s="860"/>
      <c r="D2" s="860"/>
      <c r="E2" s="860"/>
      <c r="F2" s="860"/>
      <c r="G2" s="860"/>
      <c r="H2" s="860"/>
      <c r="I2" s="861"/>
      <c r="J2" s="857"/>
      <c r="K2" s="858"/>
    </row>
    <row r="3" spans="1:14" ht="19.5" customHeight="1" x14ac:dyDescent="0.2">
      <c r="A3" s="862" t="s">
        <v>25</v>
      </c>
      <c r="B3" s="863"/>
      <c r="C3" s="863"/>
      <c r="D3" s="863"/>
      <c r="E3" s="863"/>
      <c r="F3" s="863"/>
      <c r="G3" s="863"/>
      <c r="H3" s="863"/>
      <c r="I3" s="864"/>
      <c r="J3" s="857"/>
      <c r="K3" s="858"/>
    </row>
    <row r="4" spans="1:14" ht="16.5" customHeight="1" x14ac:dyDescent="0.2">
      <c r="A4" s="859" t="s">
        <v>383</v>
      </c>
      <c r="B4" s="860"/>
      <c r="C4" s="860"/>
      <c r="D4" s="860"/>
      <c r="E4" s="860"/>
      <c r="F4" s="860"/>
      <c r="G4" s="860"/>
      <c r="H4" s="860"/>
      <c r="I4" s="861"/>
      <c r="J4" s="778"/>
      <c r="K4" s="779"/>
    </row>
    <row r="5" spans="1:14" ht="5.25" customHeight="1" x14ac:dyDescent="0.2">
      <c r="A5" s="302"/>
      <c r="B5" s="255"/>
      <c r="C5" s="211"/>
      <c r="D5" s="237"/>
      <c r="E5" s="211"/>
      <c r="F5" s="211"/>
      <c r="G5" s="211"/>
      <c r="H5" s="211"/>
      <c r="I5" s="211"/>
      <c r="J5" s="211"/>
      <c r="K5" s="303"/>
    </row>
    <row r="6" spans="1:14" ht="15.75" x14ac:dyDescent="0.2">
      <c r="A6" s="304" t="s">
        <v>88</v>
      </c>
      <c r="B6" s="256"/>
      <c r="C6" s="243"/>
      <c r="D6" s="244" t="s">
        <v>326</v>
      </c>
      <c r="E6" s="243" t="s">
        <v>324</v>
      </c>
      <c r="F6" s="173"/>
      <c r="G6" s="173"/>
      <c r="H6" s="173"/>
      <c r="I6" s="173"/>
      <c r="J6" s="173"/>
      <c r="K6" s="305"/>
    </row>
    <row r="7" spans="1:14" ht="6" customHeight="1" x14ac:dyDescent="0.2">
      <c r="A7" s="304"/>
      <c r="B7" s="256"/>
      <c r="C7" s="243"/>
      <c r="D7" s="244"/>
      <c r="E7" s="243"/>
      <c r="F7" s="173"/>
      <c r="G7" s="173"/>
      <c r="H7" s="173"/>
      <c r="I7" s="173"/>
      <c r="J7" s="173"/>
      <c r="K7" s="305"/>
    </row>
    <row r="8" spans="1:14" ht="15.75" x14ac:dyDescent="0.2">
      <c r="A8" s="304" t="s">
        <v>90</v>
      </c>
      <c r="B8" s="256"/>
      <c r="C8" s="243"/>
      <c r="D8" s="244" t="s">
        <v>335</v>
      </c>
      <c r="E8" s="243" t="s">
        <v>164</v>
      </c>
      <c r="F8" s="173"/>
      <c r="G8" s="173"/>
      <c r="H8" s="173"/>
      <c r="I8" s="173"/>
      <c r="J8" s="173"/>
      <c r="K8" s="305"/>
    </row>
    <row r="9" spans="1:14" ht="9.75" customHeight="1" x14ac:dyDescent="0.2">
      <c r="A9" s="306"/>
      <c r="B9" s="257"/>
      <c r="C9" s="212"/>
      <c r="D9" s="238"/>
      <c r="E9" s="212"/>
      <c r="F9" s="212"/>
      <c r="G9" s="212"/>
      <c r="H9" s="212"/>
      <c r="I9" s="212"/>
      <c r="J9" s="212"/>
      <c r="K9" s="307"/>
    </row>
    <row r="10" spans="1:14" ht="20.25" customHeight="1" x14ac:dyDescent="0.2">
      <c r="A10" s="845" t="s">
        <v>221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46"/>
    </row>
    <row r="11" spans="1:14" ht="18.75" customHeight="1" x14ac:dyDescent="0.2">
      <c r="A11" s="843" t="s">
        <v>218</v>
      </c>
      <c r="B11" s="844"/>
      <c r="C11" s="844" t="s">
        <v>3</v>
      </c>
      <c r="D11" s="844" t="s">
        <v>23</v>
      </c>
      <c r="E11" s="847" t="s">
        <v>91</v>
      </c>
      <c r="F11" s="852" t="s">
        <v>24</v>
      </c>
      <c r="G11" s="848" t="s">
        <v>219</v>
      </c>
      <c r="H11" s="849"/>
      <c r="I11" s="849"/>
      <c r="J11" s="850"/>
      <c r="K11" s="851" t="s">
        <v>28</v>
      </c>
    </row>
    <row r="12" spans="1:14" ht="29.25" customHeight="1" x14ac:dyDescent="0.2">
      <c r="A12" s="560" t="s">
        <v>186</v>
      </c>
      <c r="B12" s="258" t="s">
        <v>187</v>
      </c>
      <c r="C12" s="844"/>
      <c r="D12" s="844"/>
      <c r="E12" s="847"/>
      <c r="F12" s="853"/>
      <c r="G12" s="561" t="s">
        <v>213</v>
      </c>
      <c r="H12" s="561" t="s">
        <v>214</v>
      </c>
      <c r="I12" s="561" t="s">
        <v>216</v>
      </c>
      <c r="J12" s="561" t="s">
        <v>215</v>
      </c>
      <c r="K12" s="851"/>
    </row>
    <row r="13" spans="1:14" ht="16.5" x14ac:dyDescent="0.2">
      <c r="A13" s="631">
        <v>1</v>
      </c>
      <c r="B13" s="632">
        <v>2</v>
      </c>
      <c r="C13" s="632">
        <v>3</v>
      </c>
      <c r="D13" s="632">
        <v>4</v>
      </c>
      <c r="E13" s="632">
        <v>5</v>
      </c>
      <c r="F13" s="632">
        <v>6</v>
      </c>
      <c r="G13" s="632">
        <v>7</v>
      </c>
      <c r="H13" s="632">
        <v>8</v>
      </c>
      <c r="I13" s="632">
        <v>9</v>
      </c>
      <c r="J13" s="632">
        <v>10</v>
      </c>
      <c r="K13" s="633">
        <v>11</v>
      </c>
    </row>
    <row r="14" spans="1:14" ht="27.95" customHeight="1" x14ac:dyDescent="0.2">
      <c r="A14" s="308" t="s">
        <v>44</v>
      </c>
      <c r="B14" s="259"/>
      <c r="C14" s="230" t="s">
        <v>101</v>
      </c>
      <c r="D14" s="239"/>
      <c r="E14" s="231"/>
      <c r="F14" s="231"/>
      <c r="G14" s="232"/>
      <c r="H14" s="232"/>
      <c r="I14" s="232"/>
      <c r="J14" s="232"/>
      <c r="K14" s="327">
        <f>SUM(K15:K25)</f>
        <v>116502115</v>
      </c>
      <c r="L14" s="527">
        <f>K14+K27</f>
        <v>291323115</v>
      </c>
      <c r="N14" s="508"/>
    </row>
    <row r="15" spans="1:14" ht="27.95" customHeight="1" x14ac:dyDescent="0.2">
      <c r="A15" s="309"/>
      <c r="B15" s="251" t="s">
        <v>50</v>
      </c>
      <c r="C15" s="233" t="s">
        <v>190</v>
      </c>
      <c r="D15" s="240" t="s">
        <v>166</v>
      </c>
      <c r="E15" s="235">
        <v>1</v>
      </c>
      <c r="F15" s="234" t="s">
        <v>220</v>
      </c>
      <c r="G15" s="236">
        <f>Litrik!G37</f>
        <v>3900000</v>
      </c>
      <c r="H15" s="236">
        <f>Litrik!G38</f>
        <v>3900000</v>
      </c>
      <c r="I15" s="236">
        <f>Litrik!G39</f>
        <v>3900000</v>
      </c>
      <c r="J15" s="236">
        <f>Litrik!G40</f>
        <v>3900000</v>
      </c>
      <c r="K15" s="310">
        <f>SUM(G15:J15)</f>
        <v>15600000</v>
      </c>
      <c r="L15" s="209">
        <v>15600000</v>
      </c>
      <c r="M15" s="209">
        <v>12300000</v>
      </c>
      <c r="N15" s="509">
        <f>M15-L15</f>
        <v>-3300000</v>
      </c>
    </row>
    <row r="16" spans="1:14" ht="27.95" customHeight="1" x14ac:dyDescent="0.2">
      <c r="A16" s="311"/>
      <c r="B16" s="251" t="s">
        <v>79</v>
      </c>
      <c r="C16" s="233" t="s">
        <v>102</v>
      </c>
      <c r="D16" s="240" t="s">
        <v>167</v>
      </c>
      <c r="E16" s="235">
        <v>1</v>
      </c>
      <c r="F16" s="234" t="s">
        <v>220</v>
      </c>
      <c r="G16" s="236">
        <f>'Hon Keu'!G45:J45</f>
        <v>8425000</v>
      </c>
      <c r="H16" s="236">
        <f>'Hon Keu'!G46:G46</f>
        <v>8425000</v>
      </c>
      <c r="I16" s="236">
        <f>'Hon Keu'!G47:G47</f>
        <v>8175000</v>
      </c>
      <c r="J16" s="236">
        <f>'Hon Keu'!G48:G48</f>
        <v>8425000</v>
      </c>
      <c r="K16" s="310">
        <f t="shared" ref="K16:K25" si="0">SUM(G16:J16)</f>
        <v>33450000</v>
      </c>
      <c r="L16" s="209">
        <v>23900000</v>
      </c>
      <c r="M16" s="209">
        <v>20300000</v>
      </c>
      <c r="N16" s="509">
        <f t="shared" ref="N16:N33" si="1">M16-L16</f>
        <v>-3600000</v>
      </c>
    </row>
    <row r="17" spans="1:14" ht="18.75" customHeight="1" x14ac:dyDescent="0.2">
      <c r="A17" s="311"/>
      <c r="B17" s="251" t="s">
        <v>81</v>
      </c>
      <c r="C17" s="233" t="s">
        <v>92</v>
      </c>
      <c r="D17" s="240" t="s">
        <v>167</v>
      </c>
      <c r="E17" s="235">
        <v>1</v>
      </c>
      <c r="F17" s="234" t="s">
        <v>220</v>
      </c>
      <c r="G17" s="236">
        <f>ATK!G78</f>
        <v>3994665</v>
      </c>
      <c r="H17" s="236">
        <f>ATK!G79</f>
        <v>1961050</v>
      </c>
      <c r="I17" s="236">
        <f>ATK!G80</f>
        <v>1941300</v>
      </c>
      <c r="J17" s="236">
        <f>ATK!G81</f>
        <v>1830600</v>
      </c>
      <c r="K17" s="310">
        <f t="shared" si="0"/>
        <v>9727615</v>
      </c>
      <c r="L17" s="209">
        <v>5597500</v>
      </c>
      <c r="M17" s="209" t="e">
        <f>ATK!#REF!</f>
        <v>#REF!</v>
      </c>
      <c r="N17" s="509" t="e">
        <f t="shared" si="1"/>
        <v>#REF!</v>
      </c>
    </row>
    <row r="18" spans="1:14" ht="27.95" customHeight="1" x14ac:dyDescent="0.2">
      <c r="A18" s="311"/>
      <c r="B18" s="251" t="s">
        <v>64</v>
      </c>
      <c r="C18" s="233" t="s">
        <v>103</v>
      </c>
      <c r="D18" s="240" t="s">
        <v>167</v>
      </c>
      <c r="E18" s="235">
        <v>1</v>
      </c>
      <c r="F18" s="234" t="s">
        <v>220</v>
      </c>
      <c r="G18" s="236">
        <f>cetak!G35</f>
        <v>1725000</v>
      </c>
      <c r="H18" s="236">
        <f>cetak!G36</f>
        <v>600000</v>
      </c>
      <c r="I18" s="236">
        <f>cetak!G37</f>
        <v>900000</v>
      </c>
      <c r="J18" s="236">
        <f>cetak!G38</f>
        <v>750000</v>
      </c>
      <c r="K18" s="310">
        <f t="shared" si="0"/>
        <v>3975000</v>
      </c>
      <c r="L18" s="209">
        <v>2383000</v>
      </c>
      <c r="M18" s="209">
        <f>cetak!Y32</f>
        <v>3975000</v>
      </c>
      <c r="N18" s="509">
        <f t="shared" si="1"/>
        <v>1592000</v>
      </c>
    </row>
    <row r="19" spans="1:14" ht="27.95" customHeight="1" x14ac:dyDescent="0.2">
      <c r="A19" s="311"/>
      <c r="B19" s="251" t="s">
        <v>93</v>
      </c>
      <c r="C19" s="233" t="s">
        <v>304</v>
      </c>
      <c r="D19" s="240" t="s">
        <v>167</v>
      </c>
      <c r="E19" s="235">
        <v>1</v>
      </c>
      <c r="F19" s="234" t="s">
        <v>220</v>
      </c>
      <c r="G19" s="236">
        <f>listrik!G38</f>
        <v>556500</v>
      </c>
      <c r="H19" s="236">
        <f>listrik!G39</f>
        <v>392000</v>
      </c>
      <c r="I19" s="236">
        <f>listrik!G40</f>
        <v>575000</v>
      </c>
      <c r="J19" s="236">
        <f>listrik!G41</f>
        <v>0</v>
      </c>
      <c r="K19" s="310">
        <f t="shared" si="0"/>
        <v>1523500</v>
      </c>
      <c r="L19" s="209">
        <v>600000</v>
      </c>
      <c r="M19" s="209">
        <v>900000</v>
      </c>
      <c r="N19" s="509">
        <f t="shared" si="1"/>
        <v>300000</v>
      </c>
    </row>
    <row r="20" spans="1:14" ht="27.95" customHeight="1" x14ac:dyDescent="0.2">
      <c r="A20" s="311"/>
      <c r="B20" s="251" t="s">
        <v>94</v>
      </c>
      <c r="C20" s="233" t="s">
        <v>104</v>
      </c>
      <c r="D20" s="240" t="s">
        <v>167</v>
      </c>
      <c r="E20" s="235">
        <v>1</v>
      </c>
      <c r="F20" s="234" t="s">
        <v>220</v>
      </c>
      <c r="G20" s="236">
        <f>'alat kbersihan'!G49:J49</f>
        <v>624000</v>
      </c>
      <c r="H20" s="236">
        <f>'alat kbersihan'!G50</f>
        <v>216500</v>
      </c>
      <c r="I20" s="236">
        <f>'alat kbersihan'!G51</f>
        <v>254000</v>
      </c>
      <c r="J20" s="236">
        <f>'alat kbersihan'!G52</f>
        <v>251500</v>
      </c>
      <c r="K20" s="310">
        <f t="shared" si="0"/>
        <v>1346000</v>
      </c>
      <c r="L20" s="209">
        <v>1000000</v>
      </c>
      <c r="M20" s="209">
        <v>1000000</v>
      </c>
      <c r="N20" s="509">
        <f t="shared" si="1"/>
        <v>0</v>
      </c>
    </row>
    <row r="21" spans="1:14" ht="27.95" customHeight="1" x14ac:dyDescent="0.2">
      <c r="A21" s="311"/>
      <c r="B21" s="251" t="s">
        <v>67</v>
      </c>
      <c r="C21" s="233" t="s">
        <v>191</v>
      </c>
      <c r="D21" s="240" t="s">
        <v>167</v>
      </c>
      <c r="E21" s="235">
        <v>1</v>
      </c>
      <c r="F21" s="234" t="s">
        <v>220</v>
      </c>
      <c r="G21" s="236">
        <f>Koran!G32</f>
        <v>480000</v>
      </c>
      <c r="H21" s="236">
        <f>Koran!G33</f>
        <v>480000</v>
      </c>
      <c r="I21" s="236">
        <f>Koran!G34</f>
        <v>480000</v>
      </c>
      <c r="J21" s="236">
        <f>Koran!G35</f>
        <v>480000</v>
      </c>
      <c r="K21" s="310">
        <f t="shared" si="0"/>
        <v>1920000</v>
      </c>
      <c r="L21" s="209">
        <v>2040000</v>
      </c>
      <c r="M21" s="209">
        <v>1920000</v>
      </c>
      <c r="N21" s="509">
        <f t="shared" si="1"/>
        <v>-120000</v>
      </c>
    </row>
    <row r="22" spans="1:14" ht="18.75" customHeight="1" x14ac:dyDescent="0.2">
      <c r="A22" s="311"/>
      <c r="B22" s="251" t="s">
        <v>95</v>
      </c>
      <c r="C22" s="233" t="s">
        <v>105</v>
      </c>
      <c r="D22" s="240" t="s">
        <v>167</v>
      </c>
      <c r="E22" s="235">
        <v>1</v>
      </c>
      <c r="F22" s="234" t="s">
        <v>220</v>
      </c>
      <c r="G22" s="236">
        <f>makan!G32</f>
        <v>2040000</v>
      </c>
      <c r="H22" s="236">
        <f>makan!G33</f>
        <v>3060000</v>
      </c>
      <c r="I22" s="236">
        <f>makan!G34</f>
        <v>3060000</v>
      </c>
      <c r="J22" s="236">
        <f>makan!G35</f>
        <v>2040000</v>
      </c>
      <c r="K22" s="310">
        <f t="shared" si="0"/>
        <v>10200000</v>
      </c>
      <c r="L22" s="209">
        <v>5512500</v>
      </c>
      <c r="M22" s="209">
        <v>7140000</v>
      </c>
      <c r="N22" s="509">
        <f t="shared" si="1"/>
        <v>1627500</v>
      </c>
    </row>
    <row r="23" spans="1:14" ht="27.95" customHeight="1" x14ac:dyDescent="0.2">
      <c r="A23" s="311"/>
      <c r="B23" s="251" t="s">
        <v>277</v>
      </c>
      <c r="C23" s="233" t="s">
        <v>361</v>
      </c>
      <c r="D23" s="240" t="s">
        <v>167</v>
      </c>
      <c r="E23" s="235">
        <v>1</v>
      </c>
      <c r="F23" s="623" t="s">
        <v>220</v>
      </c>
      <c r="G23" s="236">
        <f>'Perj.Din. LD'!G43</f>
        <v>2800000</v>
      </c>
      <c r="H23" s="236">
        <f>'Perj.Din. LD'!G44</f>
        <v>1400000</v>
      </c>
      <c r="I23" s="236">
        <f>'Perj.Din. LD'!G45</f>
        <v>1900000</v>
      </c>
      <c r="J23" s="236">
        <f>'Perj.Din. LD'!G46</f>
        <v>1400000</v>
      </c>
      <c r="K23" s="310">
        <f t="shared" si="0"/>
        <v>7500000</v>
      </c>
      <c r="L23" s="209">
        <v>5000000</v>
      </c>
      <c r="M23" s="209">
        <v>5000000</v>
      </c>
      <c r="N23" s="509">
        <f t="shared" si="1"/>
        <v>0</v>
      </c>
    </row>
    <row r="24" spans="1:14" ht="27.95" customHeight="1" x14ac:dyDescent="0.2">
      <c r="A24" s="311"/>
      <c r="B24" s="251" t="s">
        <v>96</v>
      </c>
      <c r="C24" s="233" t="s">
        <v>106</v>
      </c>
      <c r="D24" s="240" t="s">
        <v>167</v>
      </c>
      <c r="E24" s="235">
        <v>1</v>
      </c>
      <c r="F24" s="234" t="s">
        <v>220</v>
      </c>
      <c r="G24" s="236">
        <f>'Perj.Din. DD'!G36</f>
        <v>1820000</v>
      </c>
      <c r="H24" s="236">
        <f>'Perj.Din. DD'!G37</f>
        <v>1820000</v>
      </c>
      <c r="I24" s="236">
        <f>'Perj.Din. DD'!G38</f>
        <v>1720000</v>
      </c>
      <c r="J24" s="236">
        <f>'Perj.Din. DD'!G39</f>
        <v>1900000</v>
      </c>
      <c r="K24" s="310">
        <f t="shared" si="0"/>
        <v>7260000</v>
      </c>
      <c r="L24" s="209">
        <v>3500000</v>
      </c>
      <c r="M24" s="209">
        <f>'Perj.Din. DD'!Y24</f>
        <v>7260000</v>
      </c>
      <c r="N24" s="509">
        <f t="shared" si="1"/>
        <v>3760000</v>
      </c>
    </row>
    <row r="25" spans="1:14" ht="27.95" customHeight="1" x14ac:dyDescent="0.2">
      <c r="A25" s="311"/>
      <c r="B25" s="251" t="s">
        <v>99</v>
      </c>
      <c r="C25" s="233" t="s">
        <v>362</v>
      </c>
      <c r="D25" s="240" t="s">
        <v>167</v>
      </c>
      <c r="E25" s="235">
        <v>1</v>
      </c>
      <c r="F25" s="623" t="s">
        <v>220</v>
      </c>
      <c r="G25" s="236">
        <f>PHL!G37</f>
        <v>6000000</v>
      </c>
      <c r="H25" s="236">
        <f>PHL!G38</f>
        <v>6000000</v>
      </c>
      <c r="I25" s="236">
        <f>PHL!G39</f>
        <v>6000000</v>
      </c>
      <c r="J25" s="236">
        <f>PHL!G40</f>
        <v>6000000</v>
      </c>
      <c r="K25" s="310">
        <f t="shared" si="0"/>
        <v>24000000</v>
      </c>
      <c r="L25" s="209">
        <f>K25</f>
        <v>24000000</v>
      </c>
      <c r="M25" s="209">
        <f>L25</f>
        <v>24000000</v>
      </c>
      <c r="N25" s="509">
        <f t="shared" si="1"/>
        <v>0</v>
      </c>
    </row>
    <row r="26" spans="1:14" ht="4.5" hidden="1" customHeight="1" x14ac:dyDescent="0.2">
      <c r="A26" s="311"/>
      <c r="B26" s="251"/>
      <c r="C26" s="233"/>
      <c r="D26" s="240"/>
      <c r="E26" s="235"/>
      <c r="F26" s="234"/>
      <c r="G26" s="236"/>
      <c r="H26" s="236"/>
      <c r="I26" s="236"/>
      <c r="J26" s="236"/>
      <c r="K26" s="310"/>
      <c r="M26" s="209"/>
      <c r="N26" s="509">
        <f t="shared" si="1"/>
        <v>0</v>
      </c>
    </row>
    <row r="27" spans="1:14" ht="27.75" customHeight="1" x14ac:dyDescent="0.2">
      <c r="A27" s="309" t="s">
        <v>50</v>
      </c>
      <c r="B27" s="253"/>
      <c r="C27" s="245" t="s">
        <v>181</v>
      </c>
      <c r="D27" s="240"/>
      <c r="E27" s="132"/>
      <c r="F27" s="132"/>
      <c r="G27" s="236"/>
      <c r="H27" s="236"/>
      <c r="I27" s="236"/>
      <c r="J27" s="236"/>
      <c r="K27" s="328">
        <f>SUM(K28:K34)</f>
        <v>174821000</v>
      </c>
      <c r="M27" s="209"/>
      <c r="N27" s="509">
        <f t="shared" si="1"/>
        <v>0</v>
      </c>
    </row>
    <row r="28" spans="1:14" ht="27.75" customHeight="1" x14ac:dyDescent="0.2">
      <c r="A28" s="314"/>
      <c r="B28" s="739" t="s">
        <v>79</v>
      </c>
      <c r="C28" s="246" t="s">
        <v>457</v>
      </c>
      <c r="D28" s="247" t="s">
        <v>167</v>
      </c>
      <c r="E28" s="248">
        <v>1</v>
      </c>
      <c r="F28" s="249" t="s">
        <v>220</v>
      </c>
      <c r="G28" s="250">
        <v>25000000</v>
      </c>
      <c r="H28" s="250">
        <v>0</v>
      </c>
      <c r="I28" s="250">
        <v>0</v>
      </c>
      <c r="J28" s="250">
        <v>0</v>
      </c>
      <c r="K28" s="313">
        <f>SUM(G28:J28)</f>
        <v>25000000</v>
      </c>
      <c r="M28" s="209"/>
      <c r="N28" s="509"/>
    </row>
    <row r="29" spans="1:14" ht="21.75" customHeight="1" x14ac:dyDescent="0.2">
      <c r="A29" s="314"/>
      <c r="B29" s="739" t="s">
        <v>81</v>
      </c>
      <c r="C29" s="246" t="s">
        <v>458</v>
      </c>
      <c r="D29" s="247" t="s">
        <v>167</v>
      </c>
      <c r="E29" s="248">
        <v>1</v>
      </c>
      <c r="F29" s="249" t="s">
        <v>220</v>
      </c>
      <c r="G29" s="250">
        <v>0</v>
      </c>
      <c r="H29" s="250">
        <v>35000000</v>
      </c>
      <c r="I29" s="250">
        <v>0</v>
      </c>
      <c r="J29" s="250">
        <v>0</v>
      </c>
      <c r="K29" s="313">
        <f>SUM(G29:J29)</f>
        <v>35000000</v>
      </c>
      <c r="M29" s="209"/>
      <c r="N29" s="509"/>
    </row>
    <row r="30" spans="1:14" ht="29.25" customHeight="1" x14ac:dyDescent="0.2">
      <c r="A30" s="312"/>
      <c r="B30" s="251" t="s">
        <v>78</v>
      </c>
      <c r="C30" s="246" t="s">
        <v>146</v>
      </c>
      <c r="D30" s="247" t="s">
        <v>167</v>
      </c>
      <c r="E30" s="248">
        <v>1</v>
      </c>
      <c r="F30" s="249" t="s">
        <v>220</v>
      </c>
      <c r="G30" s="250">
        <f>rumdin!G40</f>
        <v>0</v>
      </c>
      <c r="H30" s="250">
        <f>rumdin!G41</f>
        <v>443000</v>
      </c>
      <c r="I30" s="250">
        <f>rumdin!G42</f>
        <v>1078000</v>
      </c>
      <c r="J30" s="250">
        <f>rumdin!G43</f>
        <v>0</v>
      </c>
      <c r="K30" s="313">
        <f>SUM(G30:J30)</f>
        <v>1521000</v>
      </c>
      <c r="L30" s="209">
        <v>1000000</v>
      </c>
      <c r="M30" s="209">
        <v>1059000</v>
      </c>
      <c r="N30" s="509">
        <f t="shared" si="1"/>
        <v>59000</v>
      </c>
    </row>
    <row r="31" spans="1:14" ht="27.75" customHeight="1" x14ac:dyDescent="0.2">
      <c r="A31" s="312"/>
      <c r="B31" s="251" t="s">
        <v>98</v>
      </c>
      <c r="C31" s="246" t="s">
        <v>211</v>
      </c>
      <c r="D31" s="247" t="s">
        <v>167</v>
      </c>
      <c r="E31" s="248">
        <v>1</v>
      </c>
      <c r="F31" s="249" t="s">
        <v>220</v>
      </c>
      <c r="G31" s="250">
        <f>Ged.K!G41</f>
        <v>1198000</v>
      </c>
      <c r="H31" s="250">
        <f>Ged.K!G42</f>
        <v>984000</v>
      </c>
      <c r="I31" s="250">
        <f>Ged.K!G43</f>
        <v>1688000</v>
      </c>
      <c r="J31" s="250">
        <f>Ged.K!G44</f>
        <v>930000</v>
      </c>
      <c r="K31" s="313">
        <f t="shared" ref="K31:K32" si="2">SUM(G31:J31)</f>
        <v>4800000</v>
      </c>
      <c r="L31" s="209">
        <v>3087000</v>
      </c>
      <c r="M31" s="209">
        <v>3291000</v>
      </c>
      <c r="N31" s="509">
        <f t="shared" si="1"/>
        <v>204000</v>
      </c>
    </row>
    <row r="32" spans="1:14" ht="27.75" customHeight="1" x14ac:dyDescent="0.2">
      <c r="A32" s="312"/>
      <c r="B32" s="251" t="s">
        <v>99</v>
      </c>
      <c r="C32" s="246" t="s">
        <v>225</v>
      </c>
      <c r="D32" s="247" t="s">
        <v>167</v>
      </c>
      <c r="E32" s="248">
        <v>1</v>
      </c>
      <c r="F32" s="249" t="s">
        <v>220</v>
      </c>
      <c r="G32" s="250">
        <f>Kend!G45</f>
        <v>10600000</v>
      </c>
      <c r="H32" s="250">
        <f>Kend!G46</f>
        <v>11250000</v>
      </c>
      <c r="I32" s="250">
        <f>Kend!G47</f>
        <v>13500000</v>
      </c>
      <c r="J32" s="250">
        <f>Kend!G48</f>
        <v>9650000</v>
      </c>
      <c r="K32" s="313">
        <f t="shared" si="2"/>
        <v>45000000</v>
      </c>
      <c r="L32" s="209">
        <v>30000000</v>
      </c>
      <c r="M32" s="209">
        <v>31000000</v>
      </c>
      <c r="N32" s="509">
        <f t="shared" si="1"/>
        <v>1000000</v>
      </c>
    </row>
    <row r="33" spans="1:14" ht="27" customHeight="1" x14ac:dyDescent="0.2">
      <c r="A33" s="312"/>
      <c r="B33" s="251" t="s">
        <v>100</v>
      </c>
      <c r="C33" s="246" t="s">
        <v>226</v>
      </c>
      <c r="D33" s="247" t="s">
        <v>167</v>
      </c>
      <c r="E33" s="248">
        <v>1</v>
      </c>
      <c r="F33" s="249" t="s">
        <v>220</v>
      </c>
      <c r="G33" s="250">
        <f>alat.k!G35</f>
        <v>500000</v>
      </c>
      <c r="H33" s="250">
        <f>alat.k!G36</f>
        <v>1500000</v>
      </c>
      <c r="I33" s="250">
        <f>alat.k!G37</f>
        <v>1000000</v>
      </c>
      <c r="J33" s="250">
        <v>500000</v>
      </c>
      <c r="K33" s="313">
        <f>SUM(G33:J33)</f>
        <v>3500000</v>
      </c>
      <c r="L33" s="209">
        <v>2000000</v>
      </c>
      <c r="M33" s="209">
        <f>alat.k!Y32</f>
        <v>3500000</v>
      </c>
      <c r="N33" s="509">
        <f t="shared" si="1"/>
        <v>1500000</v>
      </c>
    </row>
    <row r="34" spans="1:14" ht="21" customHeight="1" x14ac:dyDescent="0.2">
      <c r="A34" s="312"/>
      <c r="B34" s="251" t="s">
        <v>460</v>
      </c>
      <c r="C34" s="246" t="s">
        <v>459</v>
      </c>
      <c r="D34" s="247" t="s">
        <v>167</v>
      </c>
      <c r="E34" s="248">
        <v>1</v>
      </c>
      <c r="F34" s="249" t="s">
        <v>220</v>
      </c>
      <c r="G34" s="250">
        <v>0</v>
      </c>
      <c r="H34" s="250">
        <v>60000000</v>
      </c>
      <c r="I34" s="250">
        <v>0</v>
      </c>
      <c r="J34" s="250">
        <v>0</v>
      </c>
      <c r="K34" s="313">
        <f>SUM(G34:J34)</f>
        <v>60000000</v>
      </c>
      <c r="M34" s="209"/>
      <c r="N34" s="509"/>
    </row>
    <row r="35" spans="1:14" ht="4.5" hidden="1" customHeight="1" x14ac:dyDescent="0.2">
      <c r="A35" s="312"/>
      <c r="B35" s="251"/>
      <c r="C35" s="246"/>
      <c r="D35" s="247"/>
      <c r="E35" s="248"/>
      <c r="F35" s="249"/>
      <c r="G35" s="250"/>
      <c r="H35" s="250"/>
      <c r="I35" s="250"/>
      <c r="J35" s="250"/>
      <c r="K35" s="313"/>
      <c r="M35" s="209"/>
    </row>
    <row r="36" spans="1:14" ht="26.25" customHeight="1" x14ac:dyDescent="0.2">
      <c r="A36" s="314" t="s">
        <v>67</v>
      </c>
      <c r="B36" s="253"/>
      <c r="C36" s="252" t="s">
        <v>336</v>
      </c>
      <c r="D36" s="247"/>
      <c r="E36" s="254"/>
      <c r="F36" s="254"/>
      <c r="G36" s="250"/>
      <c r="H36" s="250"/>
      <c r="I36" s="250"/>
      <c r="J36" s="250"/>
      <c r="K36" s="534">
        <f>K37+K38</f>
        <v>45000000</v>
      </c>
      <c r="L36" s="209">
        <f>SUM(L15:L33)</f>
        <v>125220000</v>
      </c>
      <c r="M36" s="209" t="e">
        <f>SUM(M15:M33)</f>
        <v>#REF!</v>
      </c>
      <c r="N36" s="209" t="e">
        <f>M36-L36</f>
        <v>#REF!</v>
      </c>
    </row>
    <row r="37" spans="1:14" ht="29.25" customHeight="1" x14ac:dyDescent="0.2">
      <c r="A37" s="312"/>
      <c r="B37" s="251" t="s">
        <v>97</v>
      </c>
      <c r="C37" s="246" t="s">
        <v>461</v>
      </c>
      <c r="D37" s="247" t="s">
        <v>167</v>
      </c>
      <c r="E37" s="248">
        <v>1</v>
      </c>
      <c r="F37" s="249" t="s">
        <v>220</v>
      </c>
      <c r="G37" s="250">
        <v>5000000</v>
      </c>
      <c r="H37" s="250">
        <v>5000000</v>
      </c>
      <c r="I37" s="250">
        <v>10000000</v>
      </c>
      <c r="J37" s="250">
        <v>5000000</v>
      </c>
      <c r="K37" s="313">
        <f>SUM(G37:J37)</f>
        <v>25000000</v>
      </c>
    </row>
    <row r="38" spans="1:14" ht="19.5" customHeight="1" x14ac:dyDescent="0.2">
      <c r="A38" s="312"/>
      <c r="B38" s="251" t="s">
        <v>462</v>
      </c>
      <c r="C38" s="246" t="s">
        <v>463</v>
      </c>
      <c r="D38" s="247" t="s">
        <v>167</v>
      </c>
      <c r="E38" s="248">
        <v>1</v>
      </c>
      <c r="F38" s="249" t="s">
        <v>220</v>
      </c>
      <c r="G38" s="250">
        <v>5000000</v>
      </c>
      <c r="H38" s="250">
        <v>5000000</v>
      </c>
      <c r="I38" s="250">
        <v>5000000</v>
      </c>
      <c r="J38" s="250">
        <v>5000000</v>
      </c>
      <c r="K38" s="313">
        <f>SUM(G38:J38)</f>
        <v>20000000</v>
      </c>
    </row>
    <row r="39" spans="1:14" ht="4.5" hidden="1" customHeight="1" x14ac:dyDescent="0.2">
      <c r="A39" s="312"/>
      <c r="B39" s="251"/>
      <c r="C39" s="246"/>
      <c r="D39" s="247"/>
      <c r="E39" s="248"/>
      <c r="F39" s="249"/>
      <c r="G39" s="250"/>
      <c r="H39" s="250"/>
      <c r="I39" s="250"/>
      <c r="J39" s="250"/>
      <c r="K39" s="313"/>
      <c r="M39" s="209"/>
    </row>
    <row r="40" spans="1:14" ht="65.25" customHeight="1" x14ac:dyDescent="0.2">
      <c r="A40" s="314" t="s">
        <v>67</v>
      </c>
      <c r="B40" s="253"/>
      <c r="C40" s="252" t="s">
        <v>464</v>
      </c>
      <c r="D40" s="247"/>
      <c r="E40" s="254"/>
      <c r="F40" s="254"/>
      <c r="G40" s="250"/>
      <c r="H40" s="250"/>
      <c r="I40" s="250"/>
      <c r="J40" s="250"/>
      <c r="K40" s="534">
        <f>K41+K42</f>
        <v>50000000</v>
      </c>
      <c r="L40" s="209">
        <f>SUM(L19:L37)</f>
        <v>202959500</v>
      </c>
      <c r="M40" s="209" t="e">
        <f>SUM(M19:M37)</f>
        <v>#REF!</v>
      </c>
      <c r="N40" s="209" t="e">
        <f>M40-L40</f>
        <v>#REF!</v>
      </c>
    </row>
    <row r="41" spans="1:14" ht="29.25" customHeight="1" x14ac:dyDescent="0.2">
      <c r="A41" s="312"/>
      <c r="B41" s="251" t="s">
        <v>95</v>
      </c>
      <c r="C41" s="246" t="s">
        <v>465</v>
      </c>
      <c r="D41" s="247" t="s">
        <v>167</v>
      </c>
      <c r="E41" s="248">
        <v>1</v>
      </c>
      <c r="F41" s="249" t="s">
        <v>220</v>
      </c>
      <c r="G41" s="250">
        <v>0</v>
      </c>
      <c r="H41" s="250">
        <v>25000000</v>
      </c>
      <c r="I41" s="250">
        <v>25000000</v>
      </c>
      <c r="J41" s="250">
        <v>0</v>
      </c>
      <c r="K41" s="313">
        <f>SUM(G41:J41)</f>
        <v>50000000</v>
      </c>
      <c r="L41" s="209">
        <f>750000000</f>
        <v>750000000</v>
      </c>
    </row>
    <row r="42" spans="1:14" ht="3.75" hidden="1" customHeight="1" x14ac:dyDescent="0.2">
      <c r="A42" s="312"/>
      <c r="B42" s="251"/>
      <c r="C42" s="246"/>
      <c r="D42" s="247"/>
      <c r="E42" s="248"/>
      <c r="F42" s="249"/>
      <c r="G42" s="250"/>
      <c r="H42" s="250"/>
      <c r="I42" s="250"/>
      <c r="J42" s="250"/>
      <c r="K42" s="313"/>
      <c r="M42" s="209"/>
    </row>
    <row r="43" spans="1:14" ht="39.75" customHeight="1" x14ac:dyDescent="0.2">
      <c r="A43" s="314" t="s">
        <v>67</v>
      </c>
      <c r="B43" s="253"/>
      <c r="C43" s="252" t="s">
        <v>316</v>
      </c>
      <c r="D43" s="247"/>
      <c r="E43" s="254"/>
      <c r="F43" s="254"/>
      <c r="G43" s="250"/>
      <c r="H43" s="250"/>
      <c r="I43" s="250"/>
      <c r="J43" s="250"/>
      <c r="K43" s="534">
        <f>SUM(K44:K46)</f>
        <v>50000000</v>
      </c>
      <c r="L43" s="209">
        <f>K29+K28+K34</f>
        <v>120000000</v>
      </c>
    </row>
    <row r="44" spans="1:14" ht="27.75" customHeight="1" x14ac:dyDescent="0.2">
      <c r="A44" s="314"/>
      <c r="B44" s="251" t="s">
        <v>98</v>
      </c>
      <c r="C44" s="246" t="s">
        <v>337</v>
      </c>
      <c r="D44" s="247" t="s">
        <v>167</v>
      </c>
      <c r="E44" s="248">
        <v>1</v>
      </c>
      <c r="F44" s="249" t="s">
        <v>220</v>
      </c>
      <c r="G44" s="250">
        <v>10000000</v>
      </c>
      <c r="H44" s="250">
        <v>10000000</v>
      </c>
      <c r="I44" s="250">
        <v>0</v>
      </c>
      <c r="J44" s="250">
        <v>10000000</v>
      </c>
      <c r="K44" s="313">
        <f>SUM(G44:J44)</f>
        <v>30000000</v>
      </c>
      <c r="L44" s="209">
        <f>L41-L43</f>
        <v>630000000</v>
      </c>
    </row>
    <row r="45" spans="1:14" ht="20.25" customHeight="1" x14ac:dyDescent="0.2">
      <c r="A45" s="314"/>
      <c r="B45" s="251" t="s">
        <v>466</v>
      </c>
      <c r="C45" s="246" t="s">
        <v>375</v>
      </c>
      <c r="D45" s="247" t="s">
        <v>167</v>
      </c>
      <c r="E45" s="248">
        <v>1</v>
      </c>
      <c r="F45" s="249" t="s">
        <v>220</v>
      </c>
      <c r="G45" s="250">
        <v>0</v>
      </c>
      <c r="H45" s="250">
        <v>10000000</v>
      </c>
      <c r="I45" s="250">
        <v>0</v>
      </c>
      <c r="J45" s="250">
        <v>0</v>
      </c>
      <c r="K45" s="313">
        <f>SUM(G45:J45)</f>
        <v>10000000</v>
      </c>
      <c r="L45" s="209">
        <f>20%*L44</f>
        <v>126000000</v>
      </c>
    </row>
    <row r="46" spans="1:14" ht="20.25" customHeight="1" thickBot="1" x14ac:dyDescent="0.25">
      <c r="A46" s="314"/>
      <c r="B46" s="251" t="s">
        <v>467</v>
      </c>
      <c r="C46" s="246" t="s">
        <v>468</v>
      </c>
      <c r="D46" s="247" t="s">
        <v>167</v>
      </c>
      <c r="E46" s="248">
        <v>1</v>
      </c>
      <c r="F46" s="249" t="s">
        <v>220</v>
      </c>
      <c r="G46" s="250">
        <v>0</v>
      </c>
      <c r="H46" s="250">
        <v>10000000</v>
      </c>
      <c r="I46" s="250">
        <v>0</v>
      </c>
      <c r="J46" s="250">
        <v>0</v>
      </c>
      <c r="K46" s="313">
        <f>SUM(G46:J46)</f>
        <v>10000000</v>
      </c>
      <c r="L46" s="209">
        <f>15%*L44</f>
        <v>94500000</v>
      </c>
    </row>
    <row r="47" spans="1:14" ht="6.75" hidden="1" customHeight="1" thickBot="1" x14ac:dyDescent="0.25">
      <c r="A47" s="312"/>
      <c r="B47" s="251"/>
      <c r="C47" s="246"/>
      <c r="D47" s="247"/>
      <c r="E47" s="248"/>
      <c r="F47" s="249"/>
      <c r="G47" s="250"/>
      <c r="H47" s="250"/>
      <c r="I47" s="250"/>
      <c r="J47" s="250"/>
      <c r="K47" s="313"/>
    </row>
    <row r="48" spans="1:14" ht="30" customHeight="1" thickTop="1" thickBot="1" x14ac:dyDescent="0.25">
      <c r="A48" s="562" t="s">
        <v>381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4"/>
      <c r="L48" s="209">
        <f>5%*L44</f>
        <v>31500000</v>
      </c>
    </row>
    <row r="49" spans="1:12" ht="55.5" customHeight="1" thickTop="1" x14ac:dyDescent="0.2">
      <c r="A49" s="630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209">
        <f>50%*L48</f>
        <v>15750000</v>
      </c>
    </row>
    <row r="50" spans="1:12" ht="25.5" customHeight="1" x14ac:dyDescent="0.2">
      <c r="A50" s="314" t="s">
        <v>338</v>
      </c>
      <c r="B50" s="253"/>
      <c r="C50" s="252" t="s">
        <v>469</v>
      </c>
      <c r="D50" s="247"/>
      <c r="E50" s="254"/>
      <c r="F50" s="254"/>
      <c r="G50" s="250"/>
      <c r="H50" s="250"/>
      <c r="I50" s="250"/>
      <c r="J50" s="250"/>
      <c r="K50" s="534">
        <f>K51</f>
        <v>30000000</v>
      </c>
    </row>
    <row r="51" spans="1:12" ht="55.5" customHeight="1" x14ac:dyDescent="0.2">
      <c r="A51" s="314"/>
      <c r="B51" s="251" t="s">
        <v>470</v>
      </c>
      <c r="C51" s="246" t="s">
        <v>471</v>
      </c>
      <c r="D51" s="247" t="s">
        <v>167</v>
      </c>
      <c r="E51" s="248">
        <v>1</v>
      </c>
      <c r="F51" s="249" t="s">
        <v>220</v>
      </c>
      <c r="G51" s="250">
        <v>5000000</v>
      </c>
      <c r="H51" s="250">
        <v>10000000</v>
      </c>
      <c r="I51" s="250">
        <v>10000000</v>
      </c>
      <c r="J51" s="250">
        <v>5000000</v>
      </c>
      <c r="K51" s="534">
        <f>SUM(G51:J51)</f>
        <v>30000000</v>
      </c>
    </row>
    <row r="52" spans="1:12" ht="30" customHeight="1" x14ac:dyDescent="0.2">
      <c r="A52" s="314" t="s">
        <v>338</v>
      </c>
      <c r="B52" s="253"/>
      <c r="C52" s="252" t="s">
        <v>376</v>
      </c>
      <c r="D52" s="247"/>
      <c r="E52" s="254"/>
      <c r="F52" s="254"/>
      <c r="G52" s="250"/>
      <c r="H52" s="250"/>
      <c r="I52" s="250"/>
      <c r="J52" s="250"/>
      <c r="K52" s="534">
        <f>K53</f>
        <v>25000000</v>
      </c>
    </row>
    <row r="53" spans="1:12" ht="26.25" customHeight="1" x14ac:dyDescent="0.2">
      <c r="A53" s="312"/>
      <c r="B53" s="251" t="s">
        <v>81</v>
      </c>
      <c r="C53" s="246" t="s">
        <v>472</v>
      </c>
      <c r="D53" s="247" t="s">
        <v>167</v>
      </c>
      <c r="E53" s="248">
        <v>1</v>
      </c>
      <c r="F53" s="249" t="s">
        <v>220</v>
      </c>
      <c r="G53" s="250">
        <v>10000000</v>
      </c>
      <c r="H53" s="250">
        <v>10000000</v>
      </c>
      <c r="I53" s="250">
        <v>0</v>
      </c>
      <c r="J53" s="250">
        <v>5000000</v>
      </c>
      <c r="K53" s="313">
        <f>SUM(G53:J53)</f>
        <v>25000000</v>
      </c>
    </row>
    <row r="54" spans="1:12" ht="6.75" hidden="1" customHeight="1" x14ac:dyDescent="0.2">
      <c r="A54" s="312"/>
      <c r="B54" s="251"/>
      <c r="C54" s="246"/>
      <c r="D54" s="247"/>
      <c r="E54" s="248"/>
      <c r="F54" s="249"/>
      <c r="G54" s="250"/>
      <c r="H54" s="250"/>
      <c r="I54" s="250"/>
      <c r="J54" s="250"/>
      <c r="K54" s="313"/>
    </row>
    <row r="55" spans="1:12" ht="27" customHeight="1" x14ac:dyDescent="0.2">
      <c r="A55" s="535" t="s">
        <v>338</v>
      </c>
      <c r="B55" s="634"/>
      <c r="C55" s="536" t="s">
        <v>473</v>
      </c>
      <c r="D55" s="537"/>
      <c r="E55" s="635"/>
      <c r="F55" s="635"/>
      <c r="G55" s="539"/>
      <c r="H55" s="539"/>
      <c r="I55" s="539"/>
      <c r="J55" s="539"/>
      <c r="K55" s="540">
        <f>K56</f>
        <v>30000000</v>
      </c>
    </row>
    <row r="56" spans="1:12" ht="25.5" customHeight="1" x14ac:dyDescent="0.2">
      <c r="A56" s="312"/>
      <c r="B56" s="251" t="s">
        <v>93</v>
      </c>
      <c r="C56" s="246" t="s">
        <v>474</v>
      </c>
      <c r="D56" s="247" t="s">
        <v>167</v>
      </c>
      <c r="E56" s="248">
        <v>1</v>
      </c>
      <c r="F56" s="249" t="s">
        <v>220</v>
      </c>
      <c r="G56" s="250">
        <v>0</v>
      </c>
      <c r="H56" s="250">
        <v>0</v>
      </c>
      <c r="I56" s="250">
        <v>30000000</v>
      </c>
      <c r="J56" s="250">
        <v>0</v>
      </c>
      <c r="K56" s="313">
        <f>SUM(G56:J56)</f>
        <v>30000000</v>
      </c>
    </row>
    <row r="57" spans="1:12" ht="4.5" hidden="1" customHeight="1" x14ac:dyDescent="0.2">
      <c r="A57" s="541"/>
      <c r="B57" s="265"/>
      <c r="C57" s="542"/>
      <c r="D57" s="537"/>
      <c r="E57" s="538"/>
      <c r="F57" s="532"/>
      <c r="G57" s="539"/>
      <c r="H57" s="539"/>
      <c r="I57" s="539"/>
      <c r="J57" s="539"/>
      <c r="K57" s="543"/>
    </row>
    <row r="58" spans="1:12" ht="27" customHeight="1" x14ac:dyDescent="0.2">
      <c r="A58" s="535" t="s">
        <v>95</v>
      </c>
      <c r="B58" s="634"/>
      <c r="C58" s="536" t="s">
        <v>317</v>
      </c>
      <c r="D58" s="537"/>
      <c r="E58" s="635"/>
      <c r="F58" s="635"/>
      <c r="G58" s="539"/>
      <c r="H58" s="539"/>
      <c r="I58" s="539"/>
      <c r="J58" s="539"/>
      <c r="K58" s="540">
        <f>K59</f>
        <v>150000000</v>
      </c>
    </row>
    <row r="59" spans="1:12" ht="25.5" customHeight="1" x14ac:dyDescent="0.2">
      <c r="A59" s="312"/>
      <c r="B59" s="251" t="s">
        <v>338</v>
      </c>
      <c r="C59" s="246" t="s">
        <v>339</v>
      </c>
      <c r="D59" s="247" t="s">
        <v>167</v>
      </c>
      <c r="E59" s="248">
        <v>1</v>
      </c>
      <c r="F59" s="249" t="s">
        <v>220</v>
      </c>
      <c r="G59" s="250">
        <v>0</v>
      </c>
      <c r="H59" s="250">
        <v>75000000</v>
      </c>
      <c r="I59" s="250">
        <v>75000000</v>
      </c>
      <c r="J59" s="250">
        <v>0</v>
      </c>
      <c r="K59" s="313">
        <f>SUM(G59:J59)</f>
        <v>150000000</v>
      </c>
    </row>
    <row r="60" spans="1:12" ht="3.75" customHeight="1" x14ac:dyDescent="0.2">
      <c r="A60" s="541"/>
      <c r="B60" s="265"/>
      <c r="C60" s="542"/>
      <c r="D60" s="537"/>
      <c r="E60" s="538"/>
      <c r="F60" s="532"/>
      <c r="G60" s="539"/>
      <c r="H60" s="539"/>
      <c r="I60" s="539"/>
      <c r="J60" s="539"/>
      <c r="K60" s="543"/>
    </row>
    <row r="61" spans="1:12" ht="37.5" customHeight="1" x14ac:dyDescent="0.2">
      <c r="A61" s="535" t="s">
        <v>95</v>
      </c>
      <c r="B61" s="634"/>
      <c r="C61" s="536" t="s">
        <v>475</v>
      </c>
      <c r="D61" s="537"/>
      <c r="E61" s="635"/>
      <c r="F61" s="635"/>
      <c r="G61" s="539"/>
      <c r="H61" s="539"/>
      <c r="I61" s="539"/>
      <c r="J61" s="539"/>
      <c r="K61" s="540">
        <f>K62</f>
        <v>15000000</v>
      </c>
    </row>
    <row r="62" spans="1:12" ht="39" customHeight="1" x14ac:dyDescent="0.2">
      <c r="A62" s="312"/>
      <c r="B62" s="251" t="s">
        <v>79</v>
      </c>
      <c r="C62" s="246" t="s">
        <v>476</v>
      </c>
      <c r="D62" s="247" t="s">
        <v>167</v>
      </c>
      <c r="E62" s="248">
        <v>1</v>
      </c>
      <c r="F62" s="249" t="s">
        <v>220</v>
      </c>
      <c r="G62" s="250">
        <v>0</v>
      </c>
      <c r="H62" s="250">
        <v>15000000</v>
      </c>
      <c r="I62" s="250">
        <v>0</v>
      </c>
      <c r="J62" s="250">
        <v>0</v>
      </c>
      <c r="K62" s="313">
        <f>SUM(G62:J62)</f>
        <v>15000000</v>
      </c>
    </row>
    <row r="63" spans="1:12" ht="3.75" hidden="1" customHeight="1" x14ac:dyDescent="0.2">
      <c r="A63" s="541"/>
      <c r="B63" s="265"/>
      <c r="C63" s="542"/>
      <c r="D63" s="537"/>
      <c r="E63" s="538"/>
      <c r="F63" s="532"/>
      <c r="G63" s="539"/>
      <c r="H63" s="539"/>
      <c r="I63" s="539"/>
      <c r="J63" s="539"/>
      <c r="K63" s="543"/>
    </row>
    <row r="64" spans="1:12" ht="38.25" customHeight="1" x14ac:dyDescent="0.2">
      <c r="A64" s="535" t="s">
        <v>95</v>
      </c>
      <c r="B64" s="634"/>
      <c r="C64" s="536" t="s">
        <v>477</v>
      </c>
      <c r="D64" s="537"/>
      <c r="E64" s="635"/>
      <c r="F64" s="635"/>
      <c r="G64" s="539"/>
      <c r="H64" s="539"/>
      <c r="I64" s="539"/>
      <c r="J64" s="539"/>
      <c r="K64" s="540">
        <f>K65</f>
        <v>20000000</v>
      </c>
    </row>
    <row r="65" spans="1:13" ht="31.5" customHeight="1" x14ac:dyDescent="0.2">
      <c r="A65" s="312"/>
      <c r="B65" s="251" t="s">
        <v>364</v>
      </c>
      <c r="C65" s="246" t="s">
        <v>478</v>
      </c>
      <c r="D65" s="247" t="s">
        <v>167</v>
      </c>
      <c r="E65" s="248">
        <v>1</v>
      </c>
      <c r="F65" s="249" t="s">
        <v>220</v>
      </c>
      <c r="G65" s="250">
        <v>10000000</v>
      </c>
      <c r="H65" s="250">
        <v>0</v>
      </c>
      <c r="I65" s="250">
        <v>10000000</v>
      </c>
      <c r="J65" s="250">
        <v>0</v>
      </c>
      <c r="K65" s="313">
        <f>SUM(G65:J65)</f>
        <v>20000000</v>
      </c>
    </row>
    <row r="66" spans="1:13" ht="4.5" hidden="1" customHeight="1" x14ac:dyDescent="0.2">
      <c r="A66" s="541"/>
      <c r="B66" s="265"/>
      <c r="C66" s="542"/>
      <c r="D66" s="537"/>
      <c r="E66" s="538"/>
      <c r="F66" s="532"/>
      <c r="G66" s="539"/>
      <c r="H66" s="539"/>
      <c r="I66" s="539"/>
      <c r="J66" s="539"/>
      <c r="K66" s="543"/>
    </row>
    <row r="67" spans="1:13" ht="40.5" customHeight="1" x14ac:dyDescent="0.2">
      <c r="A67" s="535" t="s">
        <v>277</v>
      </c>
      <c r="B67" s="265"/>
      <c r="C67" s="536" t="s">
        <v>340</v>
      </c>
      <c r="D67" s="537"/>
      <c r="E67" s="538"/>
      <c r="F67" s="532"/>
      <c r="G67" s="539"/>
      <c r="H67" s="539"/>
      <c r="I67" s="539"/>
      <c r="J67" s="539"/>
      <c r="K67" s="540">
        <f>K68</f>
        <v>90000000</v>
      </c>
    </row>
    <row r="68" spans="1:13" ht="26.25" customHeight="1" x14ac:dyDescent="0.2">
      <c r="A68" s="312"/>
      <c r="B68" s="251" t="s">
        <v>227</v>
      </c>
      <c r="C68" s="246" t="s">
        <v>278</v>
      </c>
      <c r="D68" s="247" t="s">
        <v>167</v>
      </c>
      <c r="E68" s="248">
        <v>1</v>
      </c>
      <c r="F68" s="249" t="s">
        <v>220</v>
      </c>
      <c r="G68" s="250">
        <v>20000000</v>
      </c>
      <c r="H68" s="250">
        <v>30000000</v>
      </c>
      <c r="I68" s="250">
        <v>20000000</v>
      </c>
      <c r="J68" s="250">
        <v>20000000</v>
      </c>
      <c r="K68" s="313">
        <f>SUM(G68:J68)</f>
        <v>90000000</v>
      </c>
    </row>
    <row r="69" spans="1:13" ht="6" hidden="1" customHeight="1" x14ac:dyDescent="0.2">
      <c r="A69" s="312"/>
      <c r="B69" s="251"/>
      <c r="C69" s="246"/>
      <c r="D69" s="247"/>
      <c r="E69" s="248"/>
      <c r="F69" s="249"/>
      <c r="G69" s="250"/>
      <c r="H69" s="250"/>
      <c r="I69" s="250"/>
      <c r="J69" s="250"/>
      <c r="K69" s="313"/>
      <c r="M69" s="209"/>
    </row>
    <row r="70" spans="1:13" ht="38.25" customHeight="1" x14ac:dyDescent="0.2">
      <c r="A70" s="314" t="s">
        <v>96</v>
      </c>
      <c r="B70" s="253"/>
      <c r="C70" s="252" t="s">
        <v>377</v>
      </c>
      <c r="D70" s="247"/>
      <c r="E70" s="254"/>
      <c r="F70" s="254"/>
      <c r="G70" s="250"/>
      <c r="H70" s="250"/>
      <c r="I70" s="250"/>
      <c r="J70" s="250"/>
      <c r="K70" s="534">
        <f>K71</f>
        <v>25000000</v>
      </c>
      <c r="M70" s="214"/>
    </row>
    <row r="71" spans="1:13" ht="29.25" customHeight="1" x14ac:dyDescent="0.2">
      <c r="A71" s="312"/>
      <c r="B71" s="251" t="s">
        <v>47</v>
      </c>
      <c r="C71" s="246" t="s">
        <v>382</v>
      </c>
      <c r="D71" s="247" t="s">
        <v>167</v>
      </c>
      <c r="E71" s="248">
        <v>1</v>
      </c>
      <c r="F71" s="249" t="s">
        <v>220</v>
      </c>
      <c r="G71" s="250">
        <v>5000000</v>
      </c>
      <c r="H71" s="250">
        <v>5000000</v>
      </c>
      <c r="I71" s="250">
        <v>10000000</v>
      </c>
      <c r="J71" s="250">
        <v>5000000</v>
      </c>
      <c r="K71" s="313">
        <f>SUM(G71:J71)</f>
        <v>25000000</v>
      </c>
    </row>
    <row r="72" spans="1:13" ht="6" hidden="1" customHeight="1" x14ac:dyDescent="0.2">
      <c r="A72" s="312"/>
      <c r="B72" s="251"/>
      <c r="C72" s="246"/>
      <c r="D72" s="247"/>
      <c r="E72" s="248"/>
      <c r="F72" s="249"/>
      <c r="G72" s="250"/>
      <c r="H72" s="250"/>
      <c r="I72" s="250"/>
      <c r="J72" s="250"/>
      <c r="K72" s="313"/>
      <c r="M72" s="209"/>
    </row>
    <row r="73" spans="1:13" ht="24.75" customHeight="1" x14ac:dyDescent="0.2">
      <c r="A73" s="314" t="s">
        <v>78</v>
      </c>
      <c r="B73" s="253"/>
      <c r="C73" s="252" t="s">
        <v>378</v>
      </c>
      <c r="D73" s="247"/>
      <c r="E73" s="254"/>
      <c r="F73" s="254"/>
      <c r="G73" s="250"/>
      <c r="H73" s="250"/>
      <c r="I73" s="250"/>
      <c r="J73" s="250"/>
      <c r="K73" s="534">
        <f>K74</f>
        <v>20000000</v>
      </c>
      <c r="M73" s="214"/>
    </row>
    <row r="74" spans="1:13" ht="40.5" customHeight="1" x14ac:dyDescent="0.2">
      <c r="A74" s="312"/>
      <c r="B74" s="251" t="s">
        <v>94</v>
      </c>
      <c r="C74" s="246" t="s">
        <v>479</v>
      </c>
      <c r="D74" s="247" t="s">
        <v>167</v>
      </c>
      <c r="E74" s="248">
        <v>1</v>
      </c>
      <c r="F74" s="249" t="s">
        <v>220</v>
      </c>
      <c r="G74" s="250">
        <v>0</v>
      </c>
      <c r="H74" s="250">
        <v>20000000</v>
      </c>
      <c r="I74" s="250">
        <v>0</v>
      </c>
      <c r="J74" s="250">
        <v>0</v>
      </c>
      <c r="K74" s="313">
        <f>SUM(G74:J74)</f>
        <v>20000000</v>
      </c>
    </row>
    <row r="75" spans="1:13" ht="6" hidden="1" customHeight="1" x14ac:dyDescent="0.2">
      <c r="A75" s="312"/>
      <c r="B75" s="251"/>
      <c r="C75" s="246"/>
      <c r="D75" s="247"/>
      <c r="E75" s="248"/>
      <c r="F75" s="249"/>
      <c r="G75" s="250"/>
      <c r="H75" s="250"/>
      <c r="I75" s="250"/>
      <c r="J75" s="250"/>
      <c r="K75" s="313"/>
      <c r="M75" s="209"/>
    </row>
    <row r="76" spans="1:13" ht="24.75" customHeight="1" x14ac:dyDescent="0.2">
      <c r="A76" s="314" t="s">
        <v>78</v>
      </c>
      <c r="B76" s="253"/>
      <c r="C76" s="252" t="s">
        <v>224</v>
      </c>
      <c r="D76" s="247"/>
      <c r="E76" s="254"/>
      <c r="F76" s="254"/>
      <c r="G76" s="250"/>
      <c r="H76" s="250"/>
      <c r="I76" s="250"/>
      <c r="J76" s="250"/>
      <c r="K76" s="534">
        <f>K78</f>
        <v>20000000</v>
      </c>
      <c r="M76" s="214"/>
    </row>
    <row r="77" spans="1:13" ht="29.25" customHeight="1" x14ac:dyDescent="0.2">
      <c r="A77" s="312"/>
      <c r="B77" s="251" t="s">
        <v>98</v>
      </c>
      <c r="C77" s="246" t="s">
        <v>315</v>
      </c>
      <c r="D77" s="247" t="s">
        <v>167</v>
      </c>
      <c r="E77" s="248">
        <v>1</v>
      </c>
      <c r="F77" s="249" t="s">
        <v>220</v>
      </c>
      <c r="G77" s="250">
        <v>21425000</v>
      </c>
      <c r="H77" s="250">
        <v>0</v>
      </c>
      <c r="I77" s="250">
        <v>0</v>
      </c>
      <c r="J77" s="250">
        <v>8575000</v>
      </c>
      <c r="K77" s="313">
        <f>SUM(G77:J77)</f>
        <v>30000000</v>
      </c>
    </row>
    <row r="78" spans="1:13" ht="51" customHeight="1" x14ac:dyDescent="0.2">
      <c r="A78" s="312"/>
      <c r="B78" s="251" t="s">
        <v>99</v>
      </c>
      <c r="C78" s="246" t="s">
        <v>379</v>
      </c>
      <c r="D78" s="247" t="s">
        <v>167</v>
      </c>
      <c r="E78" s="248">
        <v>1</v>
      </c>
      <c r="F78" s="249" t="s">
        <v>220</v>
      </c>
      <c r="G78" s="250">
        <v>5000000</v>
      </c>
      <c r="H78" s="250">
        <v>5000000</v>
      </c>
      <c r="I78" s="250">
        <v>5000000</v>
      </c>
      <c r="J78" s="250">
        <v>5000000</v>
      </c>
      <c r="K78" s="313">
        <f>SUM(G78:J78)</f>
        <v>20000000</v>
      </c>
    </row>
    <row r="79" spans="1:13" ht="3.75" hidden="1" customHeight="1" x14ac:dyDescent="0.2">
      <c r="A79" s="312"/>
      <c r="B79" s="251"/>
      <c r="C79" s="246"/>
      <c r="D79" s="247"/>
      <c r="E79" s="248"/>
      <c r="F79" s="249"/>
      <c r="G79" s="250"/>
      <c r="H79" s="250"/>
      <c r="I79" s="250"/>
      <c r="J79" s="250"/>
      <c r="K79" s="313"/>
    </row>
    <row r="80" spans="1:13" ht="27.75" customHeight="1" x14ac:dyDescent="0.2">
      <c r="A80" s="314" t="s">
        <v>480</v>
      </c>
      <c r="B80" s="253"/>
      <c r="C80" s="252" t="s">
        <v>481</v>
      </c>
      <c r="D80" s="247"/>
      <c r="E80" s="254"/>
      <c r="F80" s="254"/>
      <c r="G80" s="250"/>
      <c r="H80" s="250"/>
      <c r="I80" s="250"/>
      <c r="J80" s="250"/>
      <c r="K80" s="534">
        <f>K81</f>
        <v>30000000</v>
      </c>
      <c r="M80" s="214"/>
    </row>
    <row r="81" spans="1:13" ht="40.5" customHeight="1" thickBot="1" x14ac:dyDescent="0.25">
      <c r="A81" s="312"/>
      <c r="B81" s="251" t="s">
        <v>467</v>
      </c>
      <c r="C81" s="246" t="s">
        <v>482</v>
      </c>
      <c r="D81" s="247" t="s">
        <v>167</v>
      </c>
      <c r="E81" s="248">
        <v>1</v>
      </c>
      <c r="F81" s="249" t="s">
        <v>220</v>
      </c>
      <c r="G81" s="250">
        <v>7500000</v>
      </c>
      <c r="H81" s="250">
        <v>7500000</v>
      </c>
      <c r="I81" s="250">
        <v>7500000</v>
      </c>
      <c r="J81" s="250">
        <v>7500000</v>
      </c>
      <c r="K81" s="313">
        <f>SUM(G81:J81)</f>
        <v>30000000</v>
      </c>
    </row>
    <row r="82" spans="1:13" ht="10.5" hidden="1" customHeight="1" thickBot="1" x14ac:dyDescent="0.25">
      <c r="A82" s="544"/>
      <c r="B82" s="260"/>
      <c r="C82" s="545"/>
      <c r="D82" s="546"/>
      <c r="E82" s="547"/>
      <c r="F82" s="548"/>
      <c r="G82" s="549"/>
      <c r="H82" s="549"/>
      <c r="I82" s="549"/>
      <c r="J82" s="549"/>
      <c r="K82" s="550"/>
    </row>
    <row r="83" spans="1:13" ht="20.25" customHeight="1" thickTop="1" thickBot="1" x14ac:dyDescent="0.25">
      <c r="A83" s="551"/>
      <c r="B83" s="842" t="s">
        <v>28</v>
      </c>
      <c r="C83" s="842"/>
      <c r="D83" s="842"/>
      <c r="E83" s="842"/>
      <c r="F83" s="559"/>
      <c r="G83" s="552">
        <f>SUM(G14:G82)</f>
        <v>173588165</v>
      </c>
      <c r="H83" s="552">
        <f>SUM(H14:H82)</f>
        <v>379931550</v>
      </c>
      <c r="I83" s="552">
        <f>SUM(I14:I82)</f>
        <v>253671300</v>
      </c>
      <c r="J83" s="552">
        <f>SUM(J14:J82)</f>
        <v>114132100</v>
      </c>
      <c r="K83" s="553">
        <f>SUM(G83:J83)</f>
        <v>921323115</v>
      </c>
      <c r="L83" s="215" t="e">
        <f>#REF!+K80+K76+K67+#REF!+K58+#REF!+#REF!+K43+K36+K27+K14</f>
        <v>#REF!</v>
      </c>
    </row>
    <row r="84" spans="1:13" ht="8.25" customHeight="1" thickTop="1" x14ac:dyDescent="0.2">
      <c r="A84" s="315"/>
      <c r="B84" s="261"/>
      <c r="C84" s="216"/>
      <c r="D84" s="241"/>
      <c r="E84" s="216"/>
      <c r="F84" s="216"/>
      <c r="G84" s="217"/>
      <c r="H84" s="216"/>
      <c r="I84" s="218"/>
      <c r="J84" s="216"/>
      <c r="K84" s="316"/>
    </row>
    <row r="85" spans="1:13" x14ac:dyDescent="0.2">
      <c r="A85" s="317"/>
      <c r="B85" s="262"/>
      <c r="C85" s="173"/>
      <c r="D85" s="226"/>
      <c r="E85" s="173"/>
      <c r="F85" s="173"/>
      <c r="G85" s="219"/>
      <c r="H85" s="219"/>
      <c r="I85" s="220" t="s">
        <v>165</v>
      </c>
      <c r="J85" s="219"/>
      <c r="K85" s="318"/>
    </row>
    <row r="86" spans="1:13" x14ac:dyDescent="0.2">
      <c r="A86" s="317"/>
      <c r="B86" s="262"/>
      <c r="C86" s="619"/>
      <c r="D86" s="618"/>
      <c r="E86" s="619"/>
      <c r="F86" s="619"/>
      <c r="G86" s="219"/>
      <c r="H86" s="219"/>
      <c r="I86" s="621"/>
      <c r="J86" s="219"/>
      <c r="K86" s="318"/>
    </row>
    <row r="87" spans="1:13" ht="17.25" customHeight="1" x14ac:dyDescent="0.2">
      <c r="A87" s="317"/>
      <c r="B87" s="262"/>
      <c r="C87" s="173"/>
      <c r="D87" s="226"/>
      <c r="E87" s="173"/>
      <c r="F87" s="173"/>
      <c r="G87" s="173"/>
      <c r="H87" s="173"/>
      <c r="I87" s="213"/>
      <c r="J87" s="173"/>
      <c r="K87" s="305"/>
    </row>
    <row r="88" spans="1:13" x14ac:dyDescent="0.2">
      <c r="A88" s="317"/>
      <c r="B88" s="262"/>
      <c r="C88" s="173"/>
      <c r="D88" s="226"/>
      <c r="E88" s="173"/>
      <c r="F88" s="173"/>
      <c r="G88" s="173"/>
      <c r="H88" s="173"/>
      <c r="I88" s="213"/>
      <c r="J88" s="173"/>
      <c r="K88" s="305"/>
    </row>
    <row r="89" spans="1:13" x14ac:dyDescent="0.2">
      <c r="A89" s="317"/>
      <c r="B89" s="262"/>
      <c r="C89" s="173"/>
      <c r="D89" s="226"/>
      <c r="E89" s="173"/>
      <c r="F89" s="173"/>
      <c r="G89" s="173"/>
      <c r="H89" s="221"/>
      <c r="I89" s="222" t="str">
        <f>RINGKSAN!K59</f>
        <v>DUDI WARDOYO, AP, M.M</v>
      </c>
      <c r="J89" s="221"/>
      <c r="K89" s="305"/>
    </row>
    <row r="90" spans="1:13" ht="13.5" customHeight="1" x14ac:dyDescent="0.2">
      <c r="A90" s="317"/>
      <c r="B90" s="262"/>
      <c r="C90" s="173"/>
      <c r="D90" s="226"/>
      <c r="E90" s="173"/>
      <c r="F90" s="173"/>
      <c r="G90" s="173"/>
      <c r="H90" s="221"/>
      <c r="I90" s="213" t="str">
        <f>Litrik!U42</f>
        <v>Pembina Tk. I</v>
      </c>
      <c r="J90" s="221"/>
      <c r="K90" s="305"/>
    </row>
    <row r="91" spans="1:13" x14ac:dyDescent="0.2">
      <c r="A91" s="306"/>
      <c r="B91" s="257"/>
      <c r="C91" s="212"/>
      <c r="D91" s="238"/>
      <c r="E91" s="212"/>
      <c r="F91" s="212"/>
      <c r="G91" s="212"/>
      <c r="H91" s="212"/>
      <c r="I91" s="213" t="str">
        <f>Litrik!U43</f>
        <v>NIP. 19741009 199311 1 001</v>
      </c>
      <c r="J91" s="212"/>
      <c r="K91" s="307"/>
    </row>
    <row r="92" spans="1:13" ht="6" customHeight="1" x14ac:dyDescent="0.2">
      <c r="A92" s="302"/>
      <c r="B92" s="255"/>
      <c r="C92" s="211"/>
      <c r="D92" s="237"/>
      <c r="E92" s="211"/>
      <c r="F92" s="211"/>
      <c r="G92" s="223"/>
      <c r="H92" s="223"/>
      <c r="I92" s="223"/>
      <c r="J92" s="223"/>
      <c r="K92" s="319"/>
    </row>
    <row r="93" spans="1:13" ht="15.75" customHeight="1" x14ac:dyDescent="0.2">
      <c r="A93" s="317"/>
      <c r="B93" s="262"/>
      <c r="C93" s="173"/>
      <c r="D93" s="226"/>
      <c r="E93" s="173"/>
      <c r="F93" s="173"/>
      <c r="G93" s="219"/>
      <c r="H93" s="173"/>
      <c r="I93" s="213" t="s">
        <v>432</v>
      </c>
      <c r="J93" s="173"/>
      <c r="K93" s="305"/>
      <c r="L93" s="224"/>
      <c r="M93" s="173"/>
    </row>
    <row r="94" spans="1:13" x14ac:dyDescent="0.2">
      <c r="A94" s="317"/>
      <c r="B94" s="262"/>
      <c r="C94" s="173"/>
      <c r="D94" s="226"/>
      <c r="E94" s="173"/>
      <c r="F94" s="173"/>
      <c r="G94" s="219"/>
      <c r="H94" s="219"/>
      <c r="I94" s="213" t="s">
        <v>33</v>
      </c>
      <c r="J94" s="219"/>
      <c r="K94" s="318"/>
    </row>
    <row r="95" spans="1:13" ht="14.25" customHeight="1" x14ac:dyDescent="0.2">
      <c r="A95" s="317"/>
      <c r="B95" s="263" t="s">
        <v>34</v>
      </c>
      <c r="C95" s="173" t="str">
        <f>Litrik!C47</f>
        <v>RIDWAN SETIA N, S.Kom</v>
      </c>
      <c r="D95" s="225" t="s">
        <v>222</v>
      </c>
      <c r="E95" s="173"/>
      <c r="F95" s="173"/>
      <c r="G95" s="173"/>
      <c r="H95" s="173"/>
      <c r="I95" s="213" t="s">
        <v>85</v>
      </c>
      <c r="J95" s="173"/>
      <c r="K95" s="305"/>
    </row>
    <row r="96" spans="1:13" ht="21" customHeight="1" x14ac:dyDescent="0.2">
      <c r="A96" s="317"/>
      <c r="B96" s="263"/>
      <c r="C96" s="173"/>
      <c r="D96" s="226"/>
      <c r="E96" s="173"/>
      <c r="F96" s="173"/>
      <c r="G96" s="173"/>
      <c r="H96" s="173"/>
      <c r="I96" s="227"/>
      <c r="J96" s="173"/>
      <c r="K96" s="305"/>
    </row>
    <row r="97" spans="1:11" x14ac:dyDescent="0.2">
      <c r="A97" s="317"/>
      <c r="B97" s="263"/>
      <c r="C97" s="173"/>
      <c r="D97" s="226"/>
      <c r="E97" s="228"/>
      <c r="F97" s="173"/>
      <c r="G97" s="173"/>
      <c r="H97" s="221"/>
      <c r="I97" s="213"/>
      <c r="J97" s="221"/>
      <c r="K97" s="305"/>
    </row>
    <row r="98" spans="1:11" ht="18" customHeight="1" x14ac:dyDescent="0.2">
      <c r="A98" s="317"/>
      <c r="B98" s="263" t="s">
        <v>35</v>
      </c>
      <c r="C98" s="173" t="s">
        <v>195</v>
      </c>
      <c r="D98" s="225" t="s">
        <v>223</v>
      </c>
      <c r="E98" s="173"/>
      <c r="F98" s="173"/>
      <c r="G98" s="173"/>
      <c r="H98" s="222"/>
      <c r="I98" s="52" t="s">
        <v>329</v>
      </c>
      <c r="J98" s="222"/>
      <c r="K98" s="305"/>
    </row>
    <row r="99" spans="1:11" x14ac:dyDescent="0.2">
      <c r="A99" s="317"/>
      <c r="B99" s="263"/>
      <c r="C99" s="173"/>
      <c r="D99" s="226"/>
      <c r="E99" s="228"/>
      <c r="F99" s="173"/>
      <c r="G99" s="173"/>
      <c r="H99" s="222"/>
      <c r="I99" s="213" t="s">
        <v>257</v>
      </c>
      <c r="J99" s="222"/>
      <c r="K99" s="305"/>
    </row>
    <row r="100" spans="1:11" ht="9.75" customHeight="1" x14ac:dyDescent="0.2">
      <c r="A100" s="317"/>
      <c r="B100" s="263"/>
      <c r="C100" s="173"/>
      <c r="D100" s="225"/>
      <c r="E100" s="173"/>
      <c r="F100" s="173"/>
      <c r="G100" s="173"/>
      <c r="H100" s="222"/>
      <c r="I100" s="213" t="s">
        <v>330</v>
      </c>
      <c r="J100" s="222"/>
      <c r="K100" s="305"/>
    </row>
    <row r="101" spans="1:11" ht="6.75" customHeight="1" thickBot="1" x14ac:dyDescent="0.25">
      <c r="A101" s="320"/>
      <c r="B101" s="321"/>
      <c r="C101" s="322"/>
      <c r="D101" s="323"/>
      <c r="E101" s="322"/>
      <c r="F101" s="322"/>
      <c r="G101" s="322"/>
      <c r="H101" s="322"/>
      <c r="I101" s="324"/>
      <c r="J101" s="322"/>
      <c r="K101" s="325"/>
    </row>
    <row r="102" spans="1:11" ht="19.5" customHeight="1" thickTop="1" x14ac:dyDescent="0.2">
      <c r="A102" s="173"/>
      <c r="B102" s="262"/>
      <c r="C102" s="173"/>
      <c r="D102" s="226"/>
      <c r="E102" s="173"/>
      <c r="F102" s="173"/>
      <c r="G102" s="173"/>
      <c r="H102" s="173"/>
      <c r="I102" s="173"/>
      <c r="J102" s="173"/>
      <c r="K102" s="173"/>
    </row>
    <row r="103" spans="1:11" x14ac:dyDescent="0.2">
      <c r="A103" s="229"/>
      <c r="B103" s="262"/>
      <c r="C103" s="173"/>
      <c r="D103" s="226"/>
      <c r="E103" s="173"/>
      <c r="F103" s="173"/>
      <c r="G103" s="173"/>
      <c r="H103" s="173"/>
      <c r="I103" s="173"/>
      <c r="J103" s="173"/>
      <c r="K103" s="173"/>
    </row>
    <row r="104" spans="1:11" x14ac:dyDescent="0.2">
      <c r="A104" s="229"/>
      <c r="B104" s="262"/>
      <c r="C104" s="173"/>
      <c r="D104" s="226"/>
      <c r="E104" s="173"/>
      <c r="F104" s="173"/>
      <c r="G104" s="173"/>
      <c r="H104" s="173"/>
      <c r="I104" s="173"/>
      <c r="J104" s="173"/>
      <c r="K104" s="173"/>
    </row>
    <row r="105" spans="1:11" x14ac:dyDescent="0.2">
      <c r="A105" s="229"/>
      <c r="B105" s="262"/>
      <c r="C105" s="173"/>
      <c r="D105" s="226"/>
      <c r="E105" s="173"/>
      <c r="F105" s="173"/>
      <c r="G105" s="173"/>
      <c r="H105" s="221"/>
      <c r="I105" s="221"/>
      <c r="J105" s="221"/>
      <c r="K105" s="221"/>
    </row>
    <row r="106" spans="1:11" x14ac:dyDescent="0.2">
      <c r="A106" s="173"/>
      <c r="B106" s="262"/>
      <c r="C106" s="173"/>
      <c r="D106" s="226"/>
      <c r="E106" s="173"/>
      <c r="F106" s="173"/>
      <c r="G106" s="173"/>
      <c r="H106" s="173"/>
      <c r="I106" s="173"/>
      <c r="J106" s="173"/>
      <c r="K106" s="173"/>
    </row>
    <row r="107" spans="1:11" x14ac:dyDescent="0.2">
      <c r="A107" s="173"/>
      <c r="B107" s="262"/>
      <c r="C107" s="173"/>
      <c r="D107" s="226"/>
      <c r="E107" s="173"/>
      <c r="F107" s="173"/>
      <c r="G107" s="173"/>
      <c r="H107" s="173"/>
      <c r="I107" s="173"/>
      <c r="J107" s="173"/>
      <c r="K107" s="173"/>
    </row>
    <row r="108" spans="1:11" x14ac:dyDescent="0.2">
      <c r="A108" s="173"/>
      <c r="B108" s="262"/>
      <c r="C108" s="173"/>
      <c r="D108" s="226"/>
      <c r="E108" s="173"/>
      <c r="F108" s="173"/>
      <c r="G108" s="173"/>
      <c r="H108" s="173"/>
      <c r="I108" s="173"/>
      <c r="J108" s="173"/>
      <c r="K108" s="173"/>
    </row>
    <row r="109" spans="1:11" x14ac:dyDescent="0.2">
      <c r="A109" s="173"/>
      <c r="B109" s="262"/>
      <c r="C109" s="173"/>
      <c r="D109" s="226"/>
      <c r="E109" s="173"/>
      <c r="F109" s="173"/>
      <c r="G109" s="173"/>
      <c r="H109" s="173"/>
      <c r="I109" s="173"/>
      <c r="J109" s="173"/>
      <c r="K109" s="173"/>
    </row>
    <row r="110" spans="1:11" x14ac:dyDescent="0.2">
      <c r="A110" s="173"/>
      <c r="B110" s="262"/>
      <c r="C110" s="173"/>
      <c r="D110" s="226"/>
      <c r="E110" s="173"/>
      <c r="F110" s="173"/>
      <c r="G110" s="173"/>
      <c r="H110" s="173"/>
      <c r="I110" s="173"/>
      <c r="J110" s="173"/>
      <c r="K110" s="173"/>
    </row>
    <row r="111" spans="1:11" x14ac:dyDescent="0.2">
      <c r="A111" s="173"/>
      <c r="B111" s="262"/>
      <c r="C111" s="173"/>
      <c r="D111" s="226"/>
      <c r="E111" s="173"/>
      <c r="F111" s="173"/>
      <c r="G111" s="173"/>
      <c r="H111" s="173"/>
      <c r="I111" s="173"/>
      <c r="J111" s="213"/>
      <c r="K111" s="173"/>
    </row>
    <row r="112" spans="1:11" x14ac:dyDescent="0.2">
      <c r="A112" s="173"/>
      <c r="B112" s="262"/>
      <c r="C112" s="173"/>
      <c r="D112" s="226"/>
      <c r="E112" s="173"/>
      <c r="F112" s="173"/>
      <c r="G112" s="173"/>
      <c r="H112" s="173"/>
      <c r="I112" s="173"/>
      <c r="J112" s="213"/>
      <c r="K112" s="173"/>
    </row>
    <row r="113" spans="1:11" x14ac:dyDescent="0.2">
      <c r="A113" s="173"/>
      <c r="B113" s="262"/>
      <c r="C113" s="173"/>
      <c r="D113" s="226"/>
      <c r="E113" s="173"/>
      <c r="F113" s="173"/>
      <c r="G113" s="173"/>
      <c r="H113" s="173"/>
      <c r="I113" s="173"/>
      <c r="J113" s="173"/>
      <c r="K113" s="173"/>
    </row>
    <row r="114" spans="1:11" x14ac:dyDescent="0.2">
      <c r="A114" s="173"/>
      <c r="B114" s="262"/>
      <c r="C114" s="173"/>
      <c r="D114" s="226"/>
      <c r="E114" s="173"/>
      <c r="F114" s="173"/>
      <c r="G114" s="173"/>
      <c r="H114" s="173"/>
      <c r="I114" s="173"/>
      <c r="J114" s="173"/>
      <c r="K114" s="173"/>
    </row>
  </sheetData>
  <mergeCells count="14">
    <mergeCell ref="A1:I1"/>
    <mergeCell ref="J1:K4"/>
    <mergeCell ref="A2:I2"/>
    <mergeCell ref="A3:I3"/>
    <mergeCell ref="A4:I4"/>
    <mergeCell ref="B83:E83"/>
    <mergeCell ref="A11:B11"/>
    <mergeCell ref="A10:K10"/>
    <mergeCell ref="C11:C12"/>
    <mergeCell ref="D11:D12"/>
    <mergeCell ref="E11:E12"/>
    <mergeCell ref="G11:J11"/>
    <mergeCell ref="K11:K12"/>
    <mergeCell ref="F11:F12"/>
  </mergeCells>
  <phoneticPr fontId="2" type="noConversion"/>
  <pageMargins left="0.43307086614173229" right="0.27559055118110237" top="0.34" bottom="0.46" header="0" footer="0.74803149606299213"/>
  <pageSetup paperSize="5" scale="85" orientation="portrait" verticalDpi="300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59"/>
  <sheetViews>
    <sheetView showGridLines="0" view="pageBreakPreview" topLeftCell="A47" zoomScale="90" zoomScaleSheetLayoutView="90" workbookViewId="0">
      <selection activeCell="Q48" sqref="Q48"/>
    </sheetView>
  </sheetViews>
  <sheetFormatPr defaultColWidth="4.42578125" defaultRowHeight="16.5" x14ac:dyDescent="0.2"/>
  <cols>
    <col min="1" max="10" width="3.7109375" style="15" customWidth="1"/>
    <col min="11" max="21" width="4.42578125" style="15"/>
    <col min="22" max="22" width="3.85546875" style="15" customWidth="1"/>
    <col min="23" max="23" width="3.7109375" style="15" customWidth="1"/>
    <col min="24" max="24" width="3.28515625" style="15" customWidth="1"/>
    <col min="25" max="16384" width="4.42578125" style="15"/>
  </cols>
  <sheetData>
    <row r="1" spans="1:30" ht="24.7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02</v>
      </c>
      <c r="W2" s="56" t="s">
        <v>40</v>
      </c>
      <c r="X2" s="56" t="s">
        <v>41</v>
      </c>
      <c r="Y2" s="777"/>
      <c r="Z2" s="778"/>
      <c r="AA2" s="779"/>
    </row>
    <row r="3" spans="1:30" ht="14.2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0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0" ht="18.75" customHeight="1" x14ac:dyDescent="0.2">
      <c r="A5" s="555" t="s">
        <v>18</v>
      </c>
      <c r="B5" s="170"/>
      <c r="C5" s="170"/>
      <c r="D5" s="170"/>
      <c r="E5" s="170"/>
      <c r="F5" s="170"/>
      <c r="G5" s="171" t="s">
        <v>89</v>
      </c>
      <c r="H5" s="172" t="s">
        <v>323</v>
      </c>
      <c r="I5" s="61"/>
      <c r="J5" s="61"/>
      <c r="K5" s="61"/>
      <c r="L5" s="61"/>
      <c r="M5" s="934" t="s">
        <v>327</v>
      </c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5"/>
    </row>
    <row r="6" spans="1:30" ht="18.75" customHeight="1" x14ac:dyDescent="0.2">
      <c r="A6" s="266" t="s">
        <v>19</v>
      </c>
      <c r="B6" s="119"/>
      <c r="C6" s="119"/>
      <c r="D6" s="119"/>
      <c r="E6" s="119"/>
      <c r="F6" s="119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61"/>
      <c r="O6" s="61"/>
      <c r="P6" s="61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0" ht="18.75" customHeight="1" x14ac:dyDescent="0.2">
      <c r="A7" s="266" t="s">
        <v>20</v>
      </c>
      <c r="B7" s="119"/>
      <c r="C7" s="119"/>
      <c r="D7" s="119"/>
      <c r="E7" s="119"/>
      <c r="F7" s="119"/>
      <c r="G7" s="14" t="s">
        <v>89</v>
      </c>
      <c r="H7" s="61" t="s">
        <v>328</v>
      </c>
      <c r="I7" s="61"/>
      <c r="J7" s="71"/>
      <c r="K7" s="61" t="s">
        <v>44</v>
      </c>
      <c r="L7" s="61"/>
      <c r="M7" s="16" t="s">
        <v>101</v>
      </c>
      <c r="N7" s="61"/>
      <c r="O7" s="61"/>
      <c r="P7" s="61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0" ht="18.75" customHeight="1" x14ac:dyDescent="0.2">
      <c r="A8" s="268" t="s">
        <v>21</v>
      </c>
      <c r="B8" s="120"/>
      <c r="C8" s="120"/>
      <c r="D8" s="120"/>
      <c r="E8" s="120"/>
      <c r="F8" s="120"/>
      <c r="G8" s="14" t="s">
        <v>89</v>
      </c>
      <c r="H8" s="61" t="s">
        <v>328</v>
      </c>
      <c r="I8" s="61"/>
      <c r="J8" s="61"/>
      <c r="K8" s="61" t="s">
        <v>44</v>
      </c>
      <c r="L8" s="61" t="s">
        <v>50</v>
      </c>
      <c r="M8" s="16" t="s">
        <v>179</v>
      </c>
      <c r="N8" s="61"/>
      <c r="O8" s="61"/>
      <c r="P8" s="61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0" ht="18.75" customHeight="1" x14ac:dyDescent="0.2">
      <c r="A9" s="268" t="s">
        <v>22</v>
      </c>
      <c r="B9" s="120"/>
      <c r="C9" s="120"/>
      <c r="D9" s="120"/>
      <c r="E9" s="120"/>
      <c r="F9" s="120"/>
      <c r="G9" s="14" t="s">
        <v>89</v>
      </c>
      <c r="H9" s="18" t="s">
        <v>384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0" ht="18.75" customHeight="1" x14ac:dyDescent="0.2">
      <c r="A10" s="268" t="s">
        <v>23</v>
      </c>
      <c r="B10" s="120"/>
      <c r="C10" s="120"/>
      <c r="D10" s="120"/>
      <c r="E10" s="120"/>
      <c r="F10" s="120"/>
      <c r="G10" s="14" t="s">
        <v>89</v>
      </c>
      <c r="H10" s="18" t="s">
        <v>178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0" ht="18.75" customHeight="1" x14ac:dyDescent="0.2">
      <c r="A11" s="268" t="s">
        <v>24</v>
      </c>
      <c r="B11" s="120"/>
      <c r="C11" s="120"/>
      <c r="D11" s="120"/>
      <c r="E11" s="120"/>
      <c r="F11" s="120"/>
      <c r="G11" s="14" t="s">
        <v>89</v>
      </c>
      <c r="H11" s="18" t="s">
        <v>385</v>
      </c>
      <c r="I11" s="20"/>
      <c r="J11" s="20"/>
      <c r="K11" s="20"/>
      <c r="L11" s="20"/>
      <c r="M11" s="18"/>
      <c r="N11" s="20"/>
      <c r="O11" s="20"/>
      <c r="P11" s="20"/>
      <c r="Q11" s="18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0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</row>
    <row r="13" spans="1:30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0" ht="18.75" customHeight="1" x14ac:dyDescent="0.2">
      <c r="A14" s="266" t="s">
        <v>14</v>
      </c>
      <c r="B14" s="119"/>
      <c r="C14" s="119"/>
      <c r="D14" s="119"/>
      <c r="E14" s="119"/>
      <c r="F14" s="119"/>
      <c r="G14" s="21" t="s">
        <v>121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</row>
    <row r="15" spans="1:30" ht="18.75" customHeight="1" x14ac:dyDescent="0.2">
      <c r="A15" s="266" t="s">
        <v>15</v>
      </c>
      <c r="B15" s="119"/>
      <c r="C15" s="119"/>
      <c r="D15" s="119"/>
      <c r="E15" s="119"/>
      <c r="F15" s="119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15600000</v>
      </c>
      <c r="Z15" s="892"/>
      <c r="AA15" s="893"/>
      <c r="AD15" s="51"/>
    </row>
    <row r="16" spans="1:30" ht="18.75" customHeight="1" x14ac:dyDescent="0.2">
      <c r="A16" s="266" t="s">
        <v>16</v>
      </c>
      <c r="B16" s="119"/>
      <c r="C16" s="119"/>
      <c r="D16" s="119"/>
      <c r="E16" s="119"/>
      <c r="F16" s="119"/>
      <c r="G16" s="21" t="s">
        <v>123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4" ht="18.75" customHeight="1" x14ac:dyDescent="0.2">
      <c r="A17" s="266" t="s">
        <v>17</v>
      </c>
      <c r="B17" s="119"/>
      <c r="C17" s="119"/>
      <c r="D17" s="119"/>
      <c r="E17" s="119"/>
      <c r="F17" s="119"/>
      <c r="G17" s="21" t="s">
        <v>123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</row>
    <row r="18" spans="1:34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</row>
    <row r="19" spans="1:34" ht="18.75" customHeight="1" x14ac:dyDescent="0.2">
      <c r="A19" s="903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05"/>
    </row>
    <row r="20" spans="1:34" ht="18.75" customHeight="1" x14ac:dyDescent="0.2">
      <c r="A20" s="906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8"/>
      <c r="AD20" s="48"/>
    </row>
    <row r="21" spans="1:34" ht="18.75" customHeight="1" x14ac:dyDescent="0.2">
      <c r="A21" s="909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6"/>
    </row>
    <row r="22" spans="1:34" ht="31.5" customHeight="1" x14ac:dyDescent="0.2">
      <c r="A22" s="909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7"/>
    </row>
    <row r="23" spans="1:34" ht="18.75" customHeight="1" x14ac:dyDescent="0.2">
      <c r="A23" s="911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00"/>
    </row>
    <row r="24" spans="1:34" ht="18.75" customHeight="1" x14ac:dyDescent="0.2">
      <c r="A24" s="573" t="s">
        <v>323</v>
      </c>
      <c r="B24" s="557" t="s">
        <v>323</v>
      </c>
      <c r="C24" s="557" t="s">
        <v>277</v>
      </c>
      <c r="D24" s="557" t="s">
        <v>44</v>
      </c>
      <c r="E24" s="557" t="s">
        <v>50</v>
      </c>
      <c r="F24" s="557" t="s">
        <v>40</v>
      </c>
      <c r="G24" s="557" t="s">
        <v>41</v>
      </c>
      <c r="H24" s="83" t="s">
        <v>41</v>
      </c>
      <c r="I24" s="83"/>
      <c r="J24" s="83"/>
      <c r="K24" s="53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15600000</v>
      </c>
      <c r="Z24" s="918"/>
      <c r="AA24" s="919"/>
    </row>
    <row r="25" spans="1:34" ht="18.75" customHeight="1" x14ac:dyDescent="0.2">
      <c r="A25" s="574" t="s">
        <v>323</v>
      </c>
      <c r="B25" s="23" t="s">
        <v>323</v>
      </c>
      <c r="C25" s="23" t="s">
        <v>277</v>
      </c>
      <c r="D25" s="23" t="s">
        <v>44</v>
      </c>
      <c r="E25" s="23" t="s">
        <v>50</v>
      </c>
      <c r="F25" s="23" t="s">
        <v>40</v>
      </c>
      <c r="G25" s="23" t="s">
        <v>41</v>
      </c>
      <c r="H25" s="23" t="s">
        <v>41</v>
      </c>
      <c r="I25" s="23" t="s">
        <v>42</v>
      </c>
      <c r="J25" s="23"/>
      <c r="K25" s="54" t="s">
        <v>37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Y26+Y28+Y30</f>
        <v>15600000</v>
      </c>
      <c r="Z25" s="918"/>
      <c r="AA25" s="919"/>
    </row>
    <row r="26" spans="1:34" ht="18.75" customHeight="1" x14ac:dyDescent="0.2">
      <c r="A26" s="575" t="s">
        <v>323</v>
      </c>
      <c r="B26" s="25" t="s">
        <v>323</v>
      </c>
      <c r="C26" s="25" t="s">
        <v>277</v>
      </c>
      <c r="D26" s="25" t="s">
        <v>44</v>
      </c>
      <c r="E26" s="25" t="s">
        <v>50</v>
      </c>
      <c r="F26" s="25" t="s">
        <v>40</v>
      </c>
      <c r="G26" s="25" t="s">
        <v>41</v>
      </c>
      <c r="H26" s="25" t="s">
        <v>41</v>
      </c>
      <c r="I26" s="25" t="s">
        <v>42</v>
      </c>
      <c r="J26" s="25" t="s">
        <v>44</v>
      </c>
      <c r="K26" s="24" t="s">
        <v>49</v>
      </c>
      <c r="L26" s="57"/>
      <c r="M26" s="57"/>
      <c r="N26" s="57"/>
      <c r="O26" s="57"/>
      <c r="P26" s="57"/>
      <c r="Q26" s="57"/>
      <c r="R26" s="873"/>
      <c r="S26" s="874"/>
      <c r="T26" s="875"/>
      <c r="U26" s="876"/>
      <c r="V26" s="875"/>
      <c r="W26" s="946"/>
      <c r="X26" s="876"/>
      <c r="Y26" s="870">
        <f>Y27</f>
        <v>7200000</v>
      </c>
      <c r="Z26" s="871"/>
      <c r="AA26" s="872"/>
    </row>
    <row r="27" spans="1:34" ht="18.75" customHeight="1" x14ac:dyDescent="0.2">
      <c r="A27" s="575"/>
      <c r="B27" s="25"/>
      <c r="C27" s="25"/>
      <c r="D27" s="25"/>
      <c r="E27" s="25"/>
      <c r="F27" s="25"/>
      <c r="G27" s="25"/>
      <c r="H27" s="25"/>
      <c r="I27" s="25"/>
      <c r="J27" s="25"/>
      <c r="K27" s="55" t="s">
        <v>428</v>
      </c>
      <c r="L27" s="60"/>
      <c r="M27" s="60"/>
      <c r="N27" s="60"/>
      <c r="O27" s="60"/>
      <c r="P27" s="60"/>
      <c r="Q27" s="60"/>
      <c r="R27" s="873">
        <v>12</v>
      </c>
      <c r="S27" s="874"/>
      <c r="T27" s="875" t="s">
        <v>176</v>
      </c>
      <c r="U27" s="876"/>
      <c r="V27" s="867">
        <v>600000</v>
      </c>
      <c r="W27" s="868"/>
      <c r="X27" s="869"/>
      <c r="Y27" s="870">
        <f>V27*R27</f>
        <v>7200000</v>
      </c>
      <c r="Z27" s="871"/>
      <c r="AA27" s="872"/>
      <c r="AE27" s="800"/>
      <c r="AF27" s="801"/>
      <c r="AG27" s="801"/>
      <c r="AH27" s="801"/>
    </row>
    <row r="28" spans="1:34" ht="18.75" customHeight="1" x14ac:dyDescent="0.2">
      <c r="A28" s="575" t="s">
        <v>323</v>
      </c>
      <c r="B28" s="25" t="s">
        <v>323</v>
      </c>
      <c r="C28" s="25" t="s">
        <v>277</v>
      </c>
      <c r="D28" s="25" t="s">
        <v>44</v>
      </c>
      <c r="E28" s="25" t="s">
        <v>50</v>
      </c>
      <c r="F28" s="25" t="s">
        <v>40</v>
      </c>
      <c r="G28" s="25" t="s">
        <v>41</v>
      </c>
      <c r="H28" s="25" t="s">
        <v>41</v>
      </c>
      <c r="I28" s="25" t="s">
        <v>42</v>
      </c>
      <c r="J28" s="25" t="s">
        <v>50</v>
      </c>
      <c r="K28" s="24" t="s">
        <v>51</v>
      </c>
      <c r="L28" s="57"/>
      <c r="M28" s="57"/>
      <c r="N28" s="57"/>
      <c r="O28" s="57"/>
      <c r="P28" s="57"/>
      <c r="Q28" s="57"/>
      <c r="R28" s="873"/>
      <c r="S28" s="874"/>
      <c r="T28" s="875"/>
      <c r="U28" s="876"/>
      <c r="V28" s="867"/>
      <c r="W28" s="868"/>
      <c r="X28" s="869"/>
      <c r="Y28" s="870">
        <f>Y29</f>
        <v>2400000</v>
      </c>
      <c r="Z28" s="871"/>
      <c r="AA28" s="872"/>
      <c r="AE28" s="801"/>
      <c r="AF28" s="801"/>
      <c r="AG28" s="801"/>
      <c r="AH28" s="801"/>
    </row>
    <row r="29" spans="1:34" ht="18.75" customHeight="1" x14ac:dyDescent="0.2">
      <c r="A29" s="575"/>
      <c r="B29" s="25"/>
      <c r="C29" s="25"/>
      <c r="D29" s="25"/>
      <c r="E29" s="25"/>
      <c r="F29" s="25"/>
      <c r="G29" s="25"/>
      <c r="H29" s="25"/>
      <c r="I29" s="25"/>
      <c r="J29" s="25"/>
      <c r="K29" s="55" t="s">
        <v>427</v>
      </c>
      <c r="L29" s="60"/>
      <c r="M29" s="60"/>
      <c r="N29" s="60"/>
      <c r="O29" s="60"/>
      <c r="P29" s="60"/>
      <c r="Q29" s="60"/>
      <c r="R29" s="873">
        <v>12</v>
      </c>
      <c r="S29" s="874"/>
      <c r="T29" s="875" t="s">
        <v>176</v>
      </c>
      <c r="U29" s="876"/>
      <c r="V29" s="867">
        <v>200000</v>
      </c>
      <c r="W29" s="868"/>
      <c r="X29" s="869"/>
      <c r="Y29" s="870">
        <f>V29*R29</f>
        <v>2400000</v>
      </c>
      <c r="Z29" s="871"/>
      <c r="AA29" s="872"/>
      <c r="AE29" s="800"/>
      <c r="AF29" s="801"/>
      <c r="AG29" s="801"/>
      <c r="AH29" s="801"/>
    </row>
    <row r="30" spans="1:34" ht="18.75" customHeight="1" x14ac:dyDescent="0.2">
      <c r="A30" s="575" t="s">
        <v>323</v>
      </c>
      <c r="B30" s="25" t="s">
        <v>323</v>
      </c>
      <c r="C30" s="25" t="s">
        <v>277</v>
      </c>
      <c r="D30" s="25" t="s">
        <v>44</v>
      </c>
      <c r="E30" s="25" t="s">
        <v>50</v>
      </c>
      <c r="F30" s="25" t="s">
        <v>40</v>
      </c>
      <c r="G30" s="25" t="s">
        <v>41</v>
      </c>
      <c r="H30" s="25" t="s">
        <v>41</v>
      </c>
      <c r="I30" s="25" t="s">
        <v>42</v>
      </c>
      <c r="J30" s="25" t="s">
        <v>42</v>
      </c>
      <c r="K30" s="24" t="s">
        <v>52</v>
      </c>
      <c r="L30" s="57"/>
      <c r="M30" s="57"/>
      <c r="N30" s="57"/>
      <c r="O30" s="57"/>
      <c r="P30" s="57"/>
      <c r="Q30" s="57"/>
      <c r="R30" s="873"/>
      <c r="S30" s="874"/>
      <c r="T30" s="875"/>
      <c r="U30" s="876"/>
      <c r="V30" s="867"/>
      <c r="W30" s="868"/>
      <c r="X30" s="869"/>
      <c r="Y30" s="870">
        <f>Y31</f>
        <v>6000000</v>
      </c>
      <c r="Z30" s="871"/>
      <c r="AA30" s="872"/>
      <c r="AE30" s="636"/>
      <c r="AF30" s="637"/>
      <c r="AG30" s="637"/>
      <c r="AH30" s="637"/>
    </row>
    <row r="31" spans="1:34" ht="18.75" customHeight="1" x14ac:dyDescent="0.2">
      <c r="A31" s="575"/>
      <c r="B31" s="25"/>
      <c r="C31" s="25"/>
      <c r="D31" s="25"/>
      <c r="E31" s="25"/>
      <c r="F31" s="25"/>
      <c r="G31" s="25"/>
      <c r="H31" s="25"/>
      <c r="I31" s="25"/>
      <c r="J31" s="25"/>
      <c r="K31" s="55" t="s">
        <v>429</v>
      </c>
      <c r="L31" s="60"/>
      <c r="M31" s="60"/>
      <c r="N31" s="60"/>
      <c r="O31" s="60"/>
      <c r="P31" s="60"/>
      <c r="Q31" s="60"/>
      <c r="R31" s="873">
        <v>12</v>
      </c>
      <c r="S31" s="874"/>
      <c r="T31" s="875" t="s">
        <v>176</v>
      </c>
      <c r="U31" s="876"/>
      <c r="V31" s="867">
        <v>500000</v>
      </c>
      <c r="W31" s="868"/>
      <c r="X31" s="869"/>
      <c r="Y31" s="870">
        <f>V31*R31</f>
        <v>6000000</v>
      </c>
      <c r="Z31" s="871"/>
      <c r="AA31" s="872"/>
      <c r="AE31" s="636"/>
      <c r="AF31" s="637"/>
      <c r="AG31" s="637"/>
      <c r="AH31" s="637"/>
    </row>
    <row r="32" spans="1:34" ht="5.25" customHeight="1" x14ac:dyDescent="0.2">
      <c r="A32" s="576"/>
      <c r="B32" s="85"/>
      <c r="C32" s="85"/>
      <c r="D32" s="85"/>
      <c r="E32" s="85"/>
      <c r="F32" s="85"/>
      <c r="G32" s="85"/>
      <c r="H32" s="85"/>
      <c r="I32" s="85"/>
      <c r="J32" s="85"/>
      <c r="K32" s="72"/>
      <c r="L32" s="70"/>
      <c r="M32" s="70"/>
      <c r="N32" s="70"/>
      <c r="O32" s="70"/>
      <c r="P32" s="70"/>
      <c r="Q32" s="70"/>
      <c r="R32" s="944"/>
      <c r="S32" s="945"/>
      <c r="T32" s="928"/>
      <c r="U32" s="929"/>
      <c r="V32" s="879"/>
      <c r="W32" s="880"/>
      <c r="X32" s="881"/>
      <c r="Y32" s="931"/>
      <c r="Z32" s="932"/>
      <c r="AA32" s="933"/>
      <c r="AE32" s="800" t="e">
        <f>#REF!/4</f>
        <v>#REF!</v>
      </c>
      <c r="AF32" s="801"/>
      <c r="AG32" s="801"/>
      <c r="AH32" s="801"/>
    </row>
    <row r="33" spans="1:38" ht="18.75" customHeight="1" x14ac:dyDescent="0.2">
      <c r="A33" s="577"/>
      <c r="B33" s="71"/>
      <c r="C33" s="71"/>
      <c r="D33" s="71"/>
      <c r="E33" s="71"/>
      <c r="F33" s="71"/>
      <c r="G33" s="71"/>
      <c r="H33" s="71"/>
      <c r="I33" s="71"/>
      <c r="J33" s="71"/>
      <c r="K33" s="32"/>
      <c r="L33" s="32"/>
      <c r="M33" s="32"/>
      <c r="N33" s="32"/>
      <c r="O33" s="32"/>
      <c r="P33" s="32"/>
      <c r="Q33" s="32"/>
      <c r="R33" s="882"/>
      <c r="S33" s="882"/>
      <c r="T33" s="883"/>
      <c r="U33" s="883"/>
      <c r="V33" s="884" t="s">
        <v>28</v>
      </c>
      <c r="W33" s="884"/>
      <c r="X33" s="885"/>
      <c r="Y33" s="886">
        <f>Y24</f>
        <v>15600000</v>
      </c>
      <c r="Z33" s="887"/>
      <c r="AA33" s="888"/>
      <c r="AE33" s="800" t="e">
        <f>SUM(AE27:AH32)</f>
        <v>#REF!</v>
      </c>
      <c r="AF33" s="801"/>
      <c r="AG33" s="801"/>
      <c r="AH33" s="801"/>
    </row>
    <row r="34" spans="1:38" ht="18.75" hidden="1" customHeight="1" x14ac:dyDescent="0.2">
      <c r="A34" s="271"/>
      <c r="B34" s="25"/>
      <c r="C34" s="25"/>
      <c r="D34" s="25"/>
      <c r="E34" s="25"/>
      <c r="F34" s="25"/>
      <c r="G34" s="25"/>
      <c r="H34" s="25"/>
      <c r="I34" s="25"/>
      <c r="J34" s="25"/>
      <c r="K34" s="55"/>
      <c r="L34" s="57"/>
      <c r="M34" s="57"/>
      <c r="N34" s="57"/>
      <c r="O34" s="57"/>
      <c r="P34" s="57"/>
      <c r="Q34" s="57"/>
      <c r="R34" s="873"/>
      <c r="S34" s="874"/>
      <c r="T34" s="875"/>
      <c r="U34" s="876"/>
      <c r="V34" s="867"/>
      <c r="W34" s="868"/>
      <c r="X34" s="869"/>
      <c r="Y34" s="870"/>
      <c r="Z34" s="871"/>
      <c r="AA34" s="930"/>
      <c r="AE34" s="33"/>
      <c r="AF34" s="33"/>
      <c r="AG34" s="33"/>
      <c r="AH34" s="33"/>
    </row>
    <row r="35" spans="1:38" ht="18.75" customHeight="1" x14ac:dyDescent="0.2">
      <c r="A35" s="277"/>
      <c r="B35" s="16" t="s">
        <v>306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67"/>
    </row>
    <row r="36" spans="1:38" ht="8.25" customHeight="1" x14ac:dyDescent="0.2">
      <c r="A36" s="278"/>
      <c r="B36" s="13"/>
      <c r="C36" s="13"/>
      <c r="D36" s="13"/>
      <c r="E36" s="13"/>
      <c r="F36" s="13"/>
      <c r="G36" s="13"/>
      <c r="H36" s="27"/>
      <c r="I36" s="13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3"/>
      <c r="V36" s="13"/>
      <c r="W36" s="13"/>
      <c r="X36" s="35"/>
      <c r="Y36" s="13"/>
      <c r="Z36" s="13"/>
      <c r="AA36" s="279"/>
    </row>
    <row r="37" spans="1:38" ht="18.75" customHeight="1" x14ac:dyDescent="0.2">
      <c r="A37" s="278"/>
      <c r="B37" s="13" t="s">
        <v>29</v>
      </c>
      <c r="C37" s="27"/>
      <c r="D37" s="13"/>
      <c r="E37" s="13"/>
      <c r="F37" s="40" t="s">
        <v>89</v>
      </c>
      <c r="G37" s="878">
        <f>Y33/4</f>
        <v>3900000</v>
      </c>
      <c r="H37" s="878"/>
      <c r="I37" s="878"/>
      <c r="J37" s="878"/>
      <c r="K37" s="13"/>
      <c r="L37" s="13"/>
      <c r="M37" s="13"/>
      <c r="N37" s="13"/>
      <c r="O37" s="28"/>
      <c r="P37" s="28"/>
      <c r="Q37" s="28"/>
      <c r="R37" s="28"/>
      <c r="S37" s="28"/>
      <c r="T37" s="28"/>
      <c r="U37" s="620" t="s">
        <v>165</v>
      </c>
      <c r="V37" s="13"/>
      <c r="W37" s="35"/>
      <c r="X37" s="13"/>
      <c r="Y37" s="13"/>
      <c r="Z37" s="13"/>
      <c r="AA37" s="279"/>
    </row>
    <row r="38" spans="1:38" ht="18.75" customHeight="1" x14ac:dyDescent="0.2">
      <c r="A38" s="278"/>
      <c r="B38" s="13" t="s">
        <v>30</v>
      </c>
      <c r="C38" s="27"/>
      <c r="D38" s="13"/>
      <c r="E38" s="13"/>
      <c r="F38" s="40" t="s">
        <v>89</v>
      </c>
      <c r="G38" s="878">
        <f>Y33/4</f>
        <v>3900000</v>
      </c>
      <c r="H38" s="878"/>
      <c r="I38" s="878"/>
      <c r="J38" s="878"/>
      <c r="K38" s="13"/>
      <c r="L38" s="13"/>
      <c r="M38" s="13"/>
      <c r="N38" s="13"/>
      <c r="O38" s="28"/>
      <c r="P38" s="28"/>
      <c r="Q38" s="28"/>
      <c r="R38" s="28"/>
      <c r="S38" s="28"/>
      <c r="T38" s="28"/>
      <c r="U38" s="620"/>
      <c r="V38" s="13"/>
      <c r="W38" s="620"/>
      <c r="X38" s="13"/>
      <c r="Y38" s="13"/>
      <c r="Z38" s="13"/>
      <c r="AA38" s="279"/>
    </row>
    <row r="39" spans="1:38" ht="18.75" customHeight="1" x14ac:dyDescent="0.2">
      <c r="A39" s="278"/>
      <c r="B39" s="13" t="s">
        <v>31</v>
      </c>
      <c r="C39" s="27"/>
      <c r="D39" s="13"/>
      <c r="E39" s="13"/>
      <c r="F39" s="40" t="s">
        <v>89</v>
      </c>
      <c r="G39" s="878">
        <f>G38</f>
        <v>3900000</v>
      </c>
      <c r="H39" s="878"/>
      <c r="I39" s="878"/>
      <c r="J39" s="878"/>
      <c r="K39" s="13"/>
      <c r="L39" s="13"/>
      <c r="M39" s="13"/>
      <c r="N39" s="13"/>
      <c r="O39" s="28"/>
      <c r="P39" s="28"/>
      <c r="Q39" s="28"/>
      <c r="R39" s="28"/>
      <c r="S39" s="28"/>
      <c r="T39" s="28"/>
      <c r="U39" s="620"/>
      <c r="V39" s="13"/>
      <c r="W39" s="35"/>
      <c r="X39" s="13"/>
      <c r="Y39" s="13"/>
      <c r="Z39" s="13"/>
      <c r="AA39" s="279"/>
    </row>
    <row r="40" spans="1:38" ht="18.75" customHeight="1" x14ac:dyDescent="0.2">
      <c r="A40" s="278"/>
      <c r="B40" s="13" t="s">
        <v>32</v>
      </c>
      <c r="C40" s="30"/>
      <c r="D40" s="29"/>
      <c r="E40" s="13"/>
      <c r="F40" s="40" t="s">
        <v>89</v>
      </c>
      <c r="G40" s="878">
        <f>G39</f>
        <v>3900000</v>
      </c>
      <c r="H40" s="878"/>
      <c r="I40" s="878"/>
      <c r="J40" s="878"/>
      <c r="K40" s="13"/>
      <c r="L40" s="13"/>
      <c r="M40" s="13"/>
      <c r="N40" s="13"/>
      <c r="O40" s="31"/>
      <c r="P40" s="31"/>
      <c r="Q40" s="31"/>
      <c r="R40" s="31"/>
      <c r="S40" s="31"/>
      <c r="T40" s="31"/>
      <c r="U40" s="52"/>
      <c r="V40" s="13"/>
      <c r="W40" s="52"/>
      <c r="X40" s="13"/>
      <c r="Y40" s="13"/>
      <c r="Z40" s="13"/>
      <c r="AA40" s="279"/>
    </row>
    <row r="41" spans="1:38" ht="18.75" customHeight="1" thickBot="1" x14ac:dyDescent="0.25">
      <c r="A41" s="278"/>
      <c r="B41" s="13"/>
      <c r="C41" s="13"/>
      <c r="D41" s="62" t="s">
        <v>28</v>
      </c>
      <c r="E41" s="13"/>
      <c r="F41" s="40" t="s">
        <v>89</v>
      </c>
      <c r="G41" s="877">
        <f>SUM(G37:J40)</f>
        <v>15600000</v>
      </c>
      <c r="H41" s="877"/>
      <c r="I41" s="877"/>
      <c r="J41" s="87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2" t="s">
        <v>386</v>
      </c>
      <c r="V41" s="13"/>
      <c r="W41" s="35"/>
      <c r="X41" s="13"/>
      <c r="Y41" s="34"/>
      <c r="Z41" s="34"/>
      <c r="AA41" s="280"/>
    </row>
    <row r="42" spans="1:38" ht="14.25" customHeight="1" thickTop="1" x14ac:dyDescent="0.2">
      <c r="A42" s="278"/>
      <c r="B42" s="13"/>
      <c r="C42" s="13"/>
      <c r="D42" s="62"/>
      <c r="E42" s="13"/>
      <c r="F42" s="40"/>
      <c r="G42" s="622"/>
      <c r="H42" s="622"/>
      <c r="I42" s="622"/>
      <c r="J42" s="6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20" t="s">
        <v>280</v>
      </c>
      <c r="V42" s="13"/>
      <c r="W42" s="620"/>
      <c r="X42" s="13"/>
      <c r="Y42" s="34"/>
      <c r="Z42" s="34"/>
      <c r="AA42" s="280"/>
    </row>
    <row r="43" spans="1:38" ht="14.25" customHeight="1" x14ac:dyDescent="0.2">
      <c r="A43" s="28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620" t="s">
        <v>260</v>
      </c>
      <c r="V43" s="10"/>
      <c r="W43" s="35"/>
      <c r="X43" s="10"/>
      <c r="Y43" s="10"/>
      <c r="Z43" s="10"/>
      <c r="AA43" s="282"/>
    </row>
    <row r="44" spans="1:38" s="138" customFormat="1" ht="18.75" customHeight="1" x14ac:dyDescent="0.2">
      <c r="A44" s="865" t="s">
        <v>194</v>
      </c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519"/>
      <c r="T44" s="520"/>
      <c r="U44" s="520"/>
      <c r="V44" s="520"/>
      <c r="W44" s="520"/>
      <c r="X44" s="520"/>
      <c r="Y44" s="520"/>
      <c r="Z44" s="520"/>
      <c r="AA44" s="521"/>
      <c r="AD44" s="136"/>
      <c r="AG44" s="136"/>
      <c r="AI44" s="136"/>
      <c r="AL44" s="136"/>
    </row>
    <row r="45" spans="1:38" ht="12.75" customHeight="1" x14ac:dyDescent="0.2">
      <c r="A45" s="27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3"/>
      <c r="U45" s="13"/>
      <c r="V45" s="13"/>
      <c r="W45" s="35" t="s">
        <v>387</v>
      </c>
      <c r="X45" s="13"/>
      <c r="Y45" s="13"/>
      <c r="Z45" s="13"/>
      <c r="AA45" s="279"/>
    </row>
    <row r="46" spans="1:38" ht="9" customHeight="1" x14ac:dyDescent="0.2">
      <c r="A46" s="27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2"/>
      <c r="T46" s="13"/>
      <c r="U46" s="13"/>
      <c r="V46" s="13"/>
      <c r="W46" s="35"/>
      <c r="X46" s="13"/>
      <c r="Y46" s="13"/>
      <c r="Z46" s="13"/>
      <c r="AA46" s="279"/>
    </row>
    <row r="47" spans="1:38" ht="18.75" customHeight="1" x14ac:dyDescent="0.2">
      <c r="A47" s="283"/>
      <c r="B47" s="26" t="s">
        <v>34</v>
      </c>
      <c r="C47" s="13" t="s">
        <v>446</v>
      </c>
      <c r="D47" s="13"/>
      <c r="E47" s="13"/>
      <c r="F47" s="47"/>
      <c r="G47" s="47"/>
      <c r="H47" s="47"/>
      <c r="K47" s="64" t="s">
        <v>34</v>
      </c>
      <c r="L47" s="47" t="s">
        <v>196</v>
      </c>
      <c r="M47" s="13"/>
      <c r="N47" s="13"/>
      <c r="O47" s="13"/>
      <c r="P47" s="13"/>
      <c r="Q47" s="47"/>
      <c r="R47" s="47"/>
      <c r="S47" s="522"/>
      <c r="T47" s="47"/>
      <c r="U47" s="13"/>
      <c r="V47" s="13"/>
      <c r="W47" s="35" t="s">
        <v>33</v>
      </c>
      <c r="X47" s="13"/>
      <c r="Y47" s="13"/>
      <c r="Z47" s="13"/>
      <c r="AA47" s="279"/>
    </row>
    <row r="48" spans="1:38" ht="18" customHeight="1" x14ac:dyDescent="0.2">
      <c r="A48" s="283"/>
      <c r="B48" s="2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2"/>
      <c r="T48" s="13"/>
      <c r="U48" s="13"/>
      <c r="V48" s="13"/>
      <c r="W48" s="35" t="s">
        <v>85</v>
      </c>
      <c r="X48" s="13"/>
      <c r="Y48" s="13"/>
      <c r="Z48" s="13"/>
      <c r="AA48" s="279"/>
    </row>
    <row r="49" spans="1:27" ht="18.75" customHeight="1" x14ac:dyDescent="0.2">
      <c r="A49" s="283"/>
      <c r="O49" s="13"/>
      <c r="P49" s="13"/>
      <c r="Q49" s="13"/>
      <c r="R49" s="47"/>
      <c r="S49" s="522"/>
      <c r="T49" s="47"/>
      <c r="U49" s="13"/>
      <c r="V49" s="13"/>
      <c r="W49" s="65"/>
      <c r="X49" s="13"/>
      <c r="Y49" s="13"/>
      <c r="Z49" s="13"/>
      <c r="AA49" s="279"/>
    </row>
    <row r="50" spans="1:27" ht="15" customHeight="1" x14ac:dyDescent="0.2">
      <c r="A50" s="278"/>
      <c r="B50" s="26" t="s">
        <v>35</v>
      </c>
      <c r="C50" s="13" t="s">
        <v>195</v>
      </c>
      <c r="D50" s="13"/>
      <c r="E50" s="13"/>
      <c r="F50" s="47"/>
      <c r="G50" s="47"/>
      <c r="H50" s="47"/>
      <c r="I50" s="47"/>
      <c r="J50" s="47"/>
      <c r="K50" s="64" t="s">
        <v>35</v>
      </c>
      <c r="L50" s="47" t="s">
        <v>305</v>
      </c>
      <c r="M50" s="13"/>
      <c r="N50" s="13"/>
      <c r="O50" s="13"/>
      <c r="P50" s="13"/>
      <c r="Q50" s="44"/>
      <c r="R50" s="44"/>
      <c r="S50" s="46"/>
      <c r="T50" s="44"/>
      <c r="U50" s="44"/>
      <c r="V50" s="44"/>
      <c r="W50" s="35"/>
      <c r="X50" s="44"/>
      <c r="Y50" s="44"/>
      <c r="Z50" s="44"/>
      <c r="AA50" s="284"/>
    </row>
    <row r="51" spans="1:27" s="33" customFormat="1" ht="18.75" customHeight="1" x14ac:dyDescent="0.2">
      <c r="A51" s="285"/>
      <c r="B51" s="26"/>
      <c r="C51" s="13"/>
      <c r="D51" s="13"/>
      <c r="E51" s="13"/>
      <c r="F51" s="35"/>
      <c r="G51" s="35"/>
      <c r="H51" s="35"/>
      <c r="K51" s="64"/>
      <c r="L51" s="47"/>
      <c r="M51" s="35"/>
      <c r="N51" s="35"/>
      <c r="O51" s="35"/>
      <c r="P51" s="35"/>
      <c r="Q51" s="35"/>
      <c r="R51" s="35"/>
      <c r="S51" s="36"/>
      <c r="T51" s="35"/>
      <c r="U51" s="66"/>
      <c r="V51" s="66"/>
      <c r="W51" s="52" t="s">
        <v>329</v>
      </c>
      <c r="X51" s="66"/>
      <c r="Y51" s="66"/>
      <c r="Z51" s="13"/>
      <c r="AA51" s="279"/>
    </row>
    <row r="52" spans="1:27" s="33" customFormat="1" ht="14.25" customHeight="1" x14ac:dyDescent="0.2">
      <c r="A52" s="285"/>
      <c r="B52" s="26"/>
      <c r="C52" s="13"/>
      <c r="D52" s="13"/>
      <c r="E52" s="13"/>
      <c r="F52" s="35"/>
      <c r="G52" s="35"/>
      <c r="H52" s="35"/>
      <c r="I52" s="64"/>
      <c r="J52" s="47"/>
      <c r="K52" s="35"/>
      <c r="L52" s="35"/>
      <c r="M52" s="35"/>
      <c r="N52" s="35"/>
      <c r="O52" s="35"/>
      <c r="P52" s="35"/>
      <c r="Q52" s="35"/>
      <c r="R52" s="35"/>
      <c r="S52" s="36"/>
      <c r="T52" s="35"/>
      <c r="U52" s="66"/>
      <c r="V52" s="66"/>
      <c r="W52" s="35" t="str">
        <f>RKP!I99</f>
        <v>Pembina Utama Muda</v>
      </c>
      <c r="X52" s="66"/>
      <c r="Y52" s="66"/>
      <c r="Z52" s="13"/>
      <c r="AA52" s="279"/>
    </row>
    <row r="53" spans="1:27" s="33" customFormat="1" ht="13.5" customHeight="1" x14ac:dyDescent="0.2">
      <c r="A53" s="285"/>
      <c r="B53" s="35"/>
      <c r="C53" s="35"/>
      <c r="D53" s="35"/>
      <c r="E53" s="35"/>
      <c r="F53" s="35"/>
      <c r="G53" s="26"/>
      <c r="H53" s="13"/>
      <c r="I53" s="13"/>
      <c r="J53" s="13"/>
      <c r="K53" s="35"/>
      <c r="L53" s="35"/>
      <c r="M53" s="35"/>
      <c r="N53" s="64"/>
      <c r="O53" s="47"/>
      <c r="P53" s="35"/>
      <c r="Q53" s="35"/>
      <c r="R53" s="35"/>
      <c r="S53" s="36"/>
      <c r="T53" s="35"/>
      <c r="U53" s="66"/>
      <c r="V53" s="66"/>
      <c r="W53" s="35" t="str">
        <f>RKP!I100</f>
        <v>NIP. 19681226 199403 1 005</v>
      </c>
      <c r="X53" s="66"/>
      <c r="Y53" s="66"/>
      <c r="Z53" s="13"/>
      <c r="AA53" s="279"/>
    </row>
    <row r="54" spans="1:27" ht="5.25" customHeight="1" thickBot="1" x14ac:dyDescent="0.25">
      <c r="A54" s="286"/>
      <c r="B54" s="287"/>
      <c r="C54" s="287"/>
      <c r="D54" s="287"/>
      <c r="E54" s="287"/>
      <c r="F54" s="287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524"/>
      <c r="T54" s="288"/>
      <c r="U54" s="288"/>
      <c r="V54" s="288"/>
      <c r="W54" s="289"/>
      <c r="X54" s="288"/>
      <c r="Y54" s="288"/>
      <c r="Z54" s="288"/>
      <c r="AA54" s="290"/>
    </row>
    <row r="55" spans="1:27" ht="17.25" thickTop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</sheetData>
  <mergeCells count="85">
    <mergeCell ref="R25:S25"/>
    <mergeCell ref="R24:S24"/>
    <mergeCell ref="R32:S32"/>
    <mergeCell ref="T24:U24"/>
    <mergeCell ref="V26:X26"/>
    <mergeCell ref="V25:X25"/>
    <mergeCell ref="V24:X24"/>
    <mergeCell ref="R27:S27"/>
    <mergeCell ref="R29:S29"/>
    <mergeCell ref="R28:S28"/>
    <mergeCell ref="V28:X28"/>
    <mergeCell ref="V27:X27"/>
    <mergeCell ref="T29:U29"/>
    <mergeCell ref="AE29:AH29"/>
    <mergeCell ref="AE32:AH32"/>
    <mergeCell ref="AE27:AH27"/>
    <mergeCell ref="AE28:AH28"/>
    <mergeCell ref="AE33:AH33"/>
    <mergeCell ref="M5:AA5"/>
    <mergeCell ref="Y13:AA13"/>
    <mergeCell ref="V22:X22"/>
    <mergeCell ref="V23:X23"/>
    <mergeCell ref="R30:S30"/>
    <mergeCell ref="T30:U30"/>
    <mergeCell ref="A12:AA12"/>
    <mergeCell ref="Y29:AA29"/>
    <mergeCell ref="Y28:AA28"/>
    <mergeCell ref="Y27:AA27"/>
    <mergeCell ref="Y26:AA26"/>
    <mergeCell ref="Y25:AA25"/>
    <mergeCell ref="Y17:AA17"/>
    <mergeCell ref="A13:F13"/>
    <mergeCell ref="R26:S26"/>
    <mergeCell ref="G13:X13"/>
    <mergeCell ref="G38:J38"/>
    <mergeCell ref="T32:U32"/>
    <mergeCell ref="G37:J37"/>
    <mergeCell ref="Y34:AA34"/>
    <mergeCell ref="Y32:AA32"/>
    <mergeCell ref="R34:S34"/>
    <mergeCell ref="T34:U34"/>
    <mergeCell ref="Y1:AA2"/>
    <mergeCell ref="K23:Q23"/>
    <mergeCell ref="R21:X21"/>
    <mergeCell ref="V29:X29"/>
    <mergeCell ref="R1:X1"/>
    <mergeCell ref="A1:Q1"/>
    <mergeCell ref="T28:U28"/>
    <mergeCell ref="T27:U27"/>
    <mergeCell ref="T26:U26"/>
    <mergeCell ref="T25:U25"/>
    <mergeCell ref="Y24:AA24"/>
    <mergeCell ref="A2:Q2"/>
    <mergeCell ref="A4:AA4"/>
    <mergeCell ref="A3:AA3"/>
    <mergeCell ref="K21:Q22"/>
    <mergeCell ref="Y21:AA22"/>
    <mergeCell ref="Y16:AA16"/>
    <mergeCell ref="Y15:AA15"/>
    <mergeCell ref="Y14:AA14"/>
    <mergeCell ref="T23:U23"/>
    <mergeCell ref="Y23:AA23"/>
    <mergeCell ref="T22:U22"/>
    <mergeCell ref="A19:AA19"/>
    <mergeCell ref="A20:AA20"/>
    <mergeCell ref="R23:S23"/>
    <mergeCell ref="R22:S22"/>
    <mergeCell ref="A21:J22"/>
    <mergeCell ref="A23:J23"/>
    <mergeCell ref="A44:R44"/>
    <mergeCell ref="V30:X30"/>
    <mergeCell ref="Y30:AA30"/>
    <mergeCell ref="R31:S31"/>
    <mergeCell ref="T31:U31"/>
    <mergeCell ref="V31:X31"/>
    <mergeCell ref="Y31:AA31"/>
    <mergeCell ref="G41:J41"/>
    <mergeCell ref="G40:J40"/>
    <mergeCell ref="G39:J39"/>
    <mergeCell ref="V34:X34"/>
    <mergeCell ref="V32:X32"/>
    <mergeCell ref="R33:S33"/>
    <mergeCell ref="T33:U33"/>
    <mergeCell ref="V33:X33"/>
    <mergeCell ref="Y33:AA33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67"/>
  <sheetViews>
    <sheetView showGridLines="0" view="pageBreakPreview" topLeftCell="A58" zoomScale="90" zoomScaleSheetLayoutView="90" workbookViewId="0">
      <selection activeCell="AD35" sqref="AD35"/>
    </sheetView>
  </sheetViews>
  <sheetFormatPr defaultColWidth="4.42578125" defaultRowHeight="16.5" x14ac:dyDescent="0.2"/>
  <cols>
    <col min="1" max="10" width="3.7109375" style="15" customWidth="1"/>
    <col min="11" max="15" width="4.42578125" style="15"/>
    <col min="16" max="16" width="4.85546875" style="15" customWidth="1"/>
    <col min="17" max="22" width="4.42578125" style="15"/>
    <col min="23" max="23" width="3.85546875" style="15" customWidth="1"/>
    <col min="24" max="29" width="4.42578125" style="15"/>
    <col min="30" max="30" width="8.5703125" style="15" bestFit="1" customWidth="1"/>
    <col min="31" max="16384" width="4.42578125" style="15"/>
  </cols>
  <sheetData>
    <row r="1" spans="1:30" ht="20.2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07</v>
      </c>
      <c r="W2" s="56" t="s">
        <v>40</v>
      </c>
      <c r="X2" s="56" t="s">
        <v>41</v>
      </c>
      <c r="Y2" s="777"/>
      <c r="Z2" s="778"/>
      <c r="AA2" s="779"/>
    </row>
    <row r="3" spans="1:30" ht="13.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0" ht="1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0" ht="20.25" customHeight="1" x14ac:dyDescent="0.2">
      <c r="A5" s="266" t="s">
        <v>18</v>
      </c>
      <c r="B5" s="558"/>
      <c r="C5" s="558"/>
      <c r="D5" s="558"/>
      <c r="E5" s="558"/>
      <c r="F5" s="558"/>
      <c r="G5" s="14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0" ht="18.75" customHeight="1" x14ac:dyDescent="0.2">
      <c r="A6" s="266" t="s">
        <v>19</v>
      </c>
      <c r="B6" s="119"/>
      <c r="C6" s="119"/>
      <c r="D6" s="119"/>
      <c r="E6" s="119"/>
      <c r="F6" s="119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61"/>
      <c r="O6" s="61"/>
      <c r="P6" s="61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0" ht="18.75" customHeight="1" x14ac:dyDescent="0.2">
      <c r="A7" s="266" t="s">
        <v>20</v>
      </c>
      <c r="B7" s="119"/>
      <c r="C7" s="119"/>
      <c r="D7" s="119"/>
      <c r="E7" s="119"/>
      <c r="F7" s="119"/>
      <c r="G7" s="14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61"/>
      <c r="O7" s="61"/>
      <c r="P7" s="61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0" ht="18.75" customHeight="1" x14ac:dyDescent="0.2">
      <c r="A8" s="268" t="s">
        <v>21</v>
      </c>
      <c r="B8" s="120"/>
      <c r="C8" s="120"/>
      <c r="D8" s="120"/>
      <c r="E8" s="120"/>
      <c r="F8" s="120"/>
      <c r="G8" s="14" t="s">
        <v>89</v>
      </c>
      <c r="H8" s="61" t="s">
        <v>328</v>
      </c>
      <c r="I8" s="61"/>
      <c r="J8" s="61"/>
      <c r="K8" s="61" t="s">
        <v>44</v>
      </c>
      <c r="L8" s="61" t="s">
        <v>79</v>
      </c>
      <c r="M8" s="16" t="s">
        <v>102</v>
      </c>
      <c r="N8" s="61"/>
      <c r="O8" s="61"/>
      <c r="P8" s="61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0" ht="18.75" customHeight="1" x14ac:dyDescent="0.2">
      <c r="A9" s="268" t="s">
        <v>22</v>
      </c>
      <c r="B9" s="120"/>
      <c r="C9" s="120"/>
      <c r="D9" s="120"/>
      <c r="E9" s="120"/>
      <c r="F9" s="120"/>
      <c r="G9" s="14" t="s">
        <v>89</v>
      </c>
      <c r="H9" s="18" t="s">
        <v>384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0" ht="17.25" customHeight="1" x14ac:dyDescent="0.2">
      <c r="A10" s="268" t="s">
        <v>23</v>
      </c>
      <c r="B10" s="120"/>
      <c r="C10" s="120"/>
      <c r="D10" s="120"/>
      <c r="E10" s="120"/>
      <c r="F10" s="120"/>
      <c r="G10" s="14" t="s">
        <v>89</v>
      </c>
      <c r="H10" s="18" t="s">
        <v>178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0" ht="18.75" customHeight="1" x14ac:dyDescent="0.2">
      <c r="A11" s="268" t="s">
        <v>24</v>
      </c>
      <c r="B11" s="120"/>
      <c r="C11" s="120"/>
      <c r="D11" s="120"/>
      <c r="E11" s="120"/>
      <c r="F11" s="120"/>
      <c r="G11" s="14" t="s">
        <v>89</v>
      </c>
      <c r="H11" s="18" t="s">
        <v>385</v>
      </c>
      <c r="I11" s="20"/>
      <c r="J11" s="20"/>
      <c r="K11" s="20"/>
      <c r="L11" s="20"/>
      <c r="M11" s="18"/>
      <c r="N11" s="20"/>
      <c r="O11" s="20"/>
      <c r="P11" s="20"/>
      <c r="Q11" s="18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0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</row>
    <row r="13" spans="1:30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0" ht="18.75" customHeight="1" x14ac:dyDescent="0.2">
      <c r="A14" s="266" t="s">
        <v>14</v>
      </c>
      <c r="B14" s="119"/>
      <c r="C14" s="119"/>
      <c r="D14" s="119"/>
      <c r="E14" s="119"/>
      <c r="F14" s="119"/>
      <c r="G14" s="21" t="s">
        <v>125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</row>
    <row r="15" spans="1:30" ht="18.75" customHeight="1" x14ac:dyDescent="0.2">
      <c r="A15" s="266" t="s">
        <v>15</v>
      </c>
      <c r="B15" s="119"/>
      <c r="C15" s="119"/>
      <c r="D15" s="119"/>
      <c r="E15" s="119"/>
      <c r="F15" s="119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Y42</f>
        <v>33450000</v>
      </c>
      <c r="Z15" s="892"/>
      <c r="AA15" s="893"/>
      <c r="AD15" s="51"/>
    </row>
    <row r="16" spans="1:30" ht="18.75" customHeight="1" x14ac:dyDescent="0.2">
      <c r="A16" s="266" t="s">
        <v>16</v>
      </c>
      <c r="B16" s="119"/>
      <c r="C16" s="119"/>
      <c r="D16" s="119"/>
      <c r="E16" s="119"/>
      <c r="F16" s="119"/>
      <c r="G16" s="21" t="s">
        <v>126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4" ht="18.75" customHeight="1" x14ac:dyDescent="0.2">
      <c r="A17" s="266" t="s">
        <v>17</v>
      </c>
      <c r="B17" s="119"/>
      <c r="C17" s="119"/>
      <c r="D17" s="119"/>
      <c r="E17" s="119"/>
      <c r="F17" s="119"/>
      <c r="G17" s="21" t="s">
        <v>154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</row>
    <row r="18" spans="1:34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</row>
    <row r="19" spans="1:34" ht="18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4" ht="12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</row>
    <row r="21" spans="1:34" ht="15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4" ht="1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4" ht="1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4" ht="15" customHeight="1" x14ac:dyDescent="0.2">
      <c r="A24" s="721" t="s">
        <v>323</v>
      </c>
      <c r="B24" s="83" t="s">
        <v>323</v>
      </c>
      <c r="C24" s="83" t="s">
        <v>277</v>
      </c>
      <c r="D24" s="83" t="s">
        <v>44</v>
      </c>
      <c r="E24" s="83" t="s">
        <v>79</v>
      </c>
      <c r="F24" s="83" t="s">
        <v>40</v>
      </c>
      <c r="G24" s="83" t="s">
        <v>41</v>
      </c>
      <c r="H24" s="22"/>
      <c r="I24" s="22"/>
      <c r="J24" s="22"/>
      <c r="K24" s="53" t="s">
        <v>183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Y25+Y37</f>
        <v>33450000</v>
      </c>
      <c r="Z24" s="918"/>
      <c r="AA24" s="948"/>
    </row>
    <row r="25" spans="1:34" ht="15.95" customHeight="1" x14ac:dyDescent="0.2">
      <c r="A25" s="720" t="s">
        <v>323</v>
      </c>
      <c r="B25" s="81" t="s">
        <v>323</v>
      </c>
      <c r="C25" s="81" t="s">
        <v>277</v>
      </c>
      <c r="D25" s="22" t="s">
        <v>44</v>
      </c>
      <c r="E25" s="22" t="s">
        <v>79</v>
      </c>
      <c r="F25" s="22" t="s">
        <v>40</v>
      </c>
      <c r="G25" s="22" t="s">
        <v>41</v>
      </c>
      <c r="H25" s="22" t="s">
        <v>53</v>
      </c>
      <c r="I25" s="22"/>
      <c r="J25" s="22"/>
      <c r="K25" s="53" t="s">
        <v>84</v>
      </c>
      <c r="L25" s="58"/>
      <c r="M25" s="58"/>
      <c r="N25" s="58"/>
      <c r="O25" s="58"/>
      <c r="P25" s="58"/>
      <c r="Q25" s="58"/>
      <c r="R25" s="942"/>
      <c r="S25" s="943"/>
      <c r="T25" s="942"/>
      <c r="U25" s="943"/>
      <c r="V25" s="942"/>
      <c r="W25" s="947"/>
      <c r="X25" s="943"/>
      <c r="Y25" s="917">
        <f>Y26</f>
        <v>32700000</v>
      </c>
      <c r="Z25" s="918"/>
      <c r="AA25" s="948"/>
    </row>
    <row r="26" spans="1:34" ht="15.95" customHeight="1" x14ac:dyDescent="0.2">
      <c r="A26" s="270" t="s">
        <v>323</v>
      </c>
      <c r="B26" s="23" t="s">
        <v>323</v>
      </c>
      <c r="C26" s="23" t="s">
        <v>277</v>
      </c>
      <c r="D26" s="23" t="s">
        <v>44</v>
      </c>
      <c r="E26" s="23" t="s">
        <v>79</v>
      </c>
      <c r="F26" s="22" t="s">
        <v>40</v>
      </c>
      <c r="G26" s="22" t="s">
        <v>41</v>
      </c>
      <c r="H26" s="22" t="s">
        <v>53</v>
      </c>
      <c r="I26" s="23" t="s">
        <v>44</v>
      </c>
      <c r="J26" s="23"/>
      <c r="K26" s="54" t="s">
        <v>54</v>
      </c>
      <c r="L26" s="59"/>
      <c r="M26" s="59"/>
      <c r="N26" s="59"/>
      <c r="O26" s="59"/>
      <c r="P26" s="59"/>
      <c r="Q26" s="59"/>
      <c r="R26" s="875"/>
      <c r="S26" s="876"/>
      <c r="T26" s="875"/>
      <c r="U26" s="876"/>
      <c r="V26" s="875"/>
      <c r="W26" s="946"/>
      <c r="X26" s="876"/>
      <c r="Y26" s="917">
        <f>Y27</f>
        <v>32700000</v>
      </c>
      <c r="Z26" s="918"/>
      <c r="AA26" s="948"/>
      <c r="AE26" s="800">
        <f>Y26/4</f>
        <v>8175000</v>
      </c>
      <c r="AF26" s="801"/>
      <c r="AG26" s="801"/>
      <c r="AH26" s="801"/>
    </row>
    <row r="27" spans="1:34" ht="15.95" customHeight="1" x14ac:dyDescent="0.2">
      <c r="A27" s="271" t="s">
        <v>323</v>
      </c>
      <c r="B27" s="25" t="s">
        <v>323</v>
      </c>
      <c r="C27" s="25" t="s">
        <v>277</v>
      </c>
      <c r="D27" s="25" t="s">
        <v>44</v>
      </c>
      <c r="E27" s="25" t="s">
        <v>79</v>
      </c>
      <c r="F27" s="25" t="s">
        <v>40</v>
      </c>
      <c r="G27" s="25" t="s">
        <v>41</v>
      </c>
      <c r="H27" s="25" t="s">
        <v>53</v>
      </c>
      <c r="I27" s="25" t="s">
        <v>44</v>
      </c>
      <c r="J27" s="25" t="s">
        <v>42</v>
      </c>
      <c r="K27" s="24" t="s">
        <v>269</v>
      </c>
      <c r="L27" s="57"/>
      <c r="M27" s="57"/>
      <c r="N27" s="57"/>
      <c r="O27" s="57"/>
      <c r="P27" s="57"/>
      <c r="Q27" s="57"/>
      <c r="R27" s="873"/>
      <c r="S27" s="874"/>
      <c r="T27" s="875"/>
      <c r="U27" s="876"/>
      <c r="V27" s="875"/>
      <c r="W27" s="946"/>
      <c r="X27" s="876"/>
      <c r="Y27" s="870">
        <f>SUM(Y29:AA36)</f>
        <v>32700000</v>
      </c>
      <c r="Z27" s="871"/>
      <c r="AA27" s="930"/>
    </row>
    <row r="28" spans="1:34" ht="15.95" customHeight="1" x14ac:dyDescent="0.2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24" t="s">
        <v>270</v>
      </c>
      <c r="L28" s="57"/>
      <c r="M28" s="57"/>
      <c r="N28" s="57"/>
      <c r="O28" s="57"/>
      <c r="P28" s="57"/>
      <c r="Q28" s="57"/>
      <c r="R28" s="645"/>
      <c r="S28" s="646"/>
      <c r="T28" s="640"/>
      <c r="U28" s="641"/>
      <c r="V28" s="640"/>
      <c r="W28" s="642"/>
      <c r="X28" s="641"/>
      <c r="Y28" s="647"/>
      <c r="Z28" s="648"/>
      <c r="AA28" s="649"/>
    </row>
    <row r="29" spans="1:34" ht="15.95" customHeight="1" x14ac:dyDescent="0.2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68" t="s">
        <v>55</v>
      </c>
      <c r="L29" s="60"/>
      <c r="M29" s="60"/>
      <c r="N29" s="60"/>
      <c r="O29" s="60"/>
      <c r="P29" s="60"/>
      <c r="Q29" s="60"/>
      <c r="R29" s="873">
        <v>12</v>
      </c>
      <c r="S29" s="874"/>
      <c r="T29" s="875" t="s">
        <v>198</v>
      </c>
      <c r="U29" s="876"/>
      <c r="V29" s="867">
        <v>800000</v>
      </c>
      <c r="W29" s="868"/>
      <c r="X29" s="869"/>
      <c r="Y29" s="870">
        <f>V29*R29</f>
        <v>9600000</v>
      </c>
      <c r="Z29" s="871"/>
      <c r="AA29" s="930"/>
      <c r="AE29" s="800">
        <f>550000*25</f>
        <v>13750000</v>
      </c>
      <c r="AF29" s="801"/>
      <c r="AG29" s="801"/>
      <c r="AH29" s="801"/>
    </row>
    <row r="30" spans="1:34" ht="15.95" customHeight="1" x14ac:dyDescent="0.2">
      <c r="A30" s="271"/>
      <c r="B30" s="25"/>
      <c r="C30" s="25"/>
      <c r="D30" s="25"/>
      <c r="E30" s="25"/>
      <c r="F30" s="25"/>
      <c r="G30" s="25"/>
      <c r="H30" s="25"/>
      <c r="I30" s="25"/>
      <c r="J30" s="25"/>
      <c r="K30" s="68" t="s">
        <v>197</v>
      </c>
      <c r="L30" s="57"/>
      <c r="M30" s="57"/>
      <c r="N30" s="57"/>
      <c r="O30" s="57"/>
      <c r="P30" s="57"/>
      <c r="Q30" s="57"/>
      <c r="R30" s="873">
        <v>12</v>
      </c>
      <c r="S30" s="874"/>
      <c r="T30" s="875" t="s">
        <v>198</v>
      </c>
      <c r="U30" s="876"/>
      <c r="V30" s="867">
        <v>600000</v>
      </c>
      <c r="W30" s="868"/>
      <c r="X30" s="869"/>
      <c r="Y30" s="870">
        <f>V30*R30</f>
        <v>7200000</v>
      </c>
      <c r="Z30" s="871"/>
      <c r="AA30" s="930"/>
      <c r="AE30" s="800">
        <f>V30*15%</f>
        <v>90000</v>
      </c>
      <c r="AF30" s="801"/>
      <c r="AG30" s="801"/>
      <c r="AH30" s="801"/>
    </row>
    <row r="31" spans="1:34" ht="15.95" customHeight="1" x14ac:dyDescent="0.2">
      <c r="A31" s="271"/>
      <c r="B31" s="25"/>
      <c r="C31" s="25"/>
      <c r="D31" s="25"/>
      <c r="E31" s="25"/>
      <c r="F31" s="25"/>
      <c r="G31" s="25"/>
      <c r="H31" s="25"/>
      <c r="I31" s="25"/>
      <c r="J31" s="25"/>
      <c r="K31" s="68" t="s">
        <v>56</v>
      </c>
      <c r="L31" s="60"/>
      <c r="M31" s="60"/>
      <c r="N31" s="60"/>
      <c r="O31" s="60"/>
      <c r="P31" s="60"/>
      <c r="Q31" s="60"/>
      <c r="R31" s="873">
        <v>12</v>
      </c>
      <c r="S31" s="874"/>
      <c r="T31" s="875" t="s">
        <v>198</v>
      </c>
      <c r="U31" s="876"/>
      <c r="V31" s="867">
        <v>450000</v>
      </c>
      <c r="W31" s="868"/>
      <c r="X31" s="869"/>
      <c r="Y31" s="870">
        <f>V31*R31</f>
        <v>5400000</v>
      </c>
      <c r="Z31" s="871"/>
      <c r="AA31" s="930"/>
      <c r="AE31" s="800">
        <v>150</v>
      </c>
      <c r="AF31" s="801"/>
      <c r="AG31" s="801"/>
      <c r="AH31" s="801"/>
    </row>
    <row r="32" spans="1:34" ht="15.95" customHeight="1" x14ac:dyDescent="0.2">
      <c r="A32" s="271"/>
      <c r="B32" s="25"/>
      <c r="C32" s="25"/>
      <c r="D32" s="25"/>
      <c r="E32" s="25"/>
      <c r="F32" s="25"/>
      <c r="G32" s="25"/>
      <c r="H32" s="25"/>
      <c r="I32" s="25"/>
      <c r="J32" s="25"/>
      <c r="K32" s="68" t="s">
        <v>249</v>
      </c>
      <c r="L32" s="57"/>
      <c r="M32" s="57"/>
      <c r="N32" s="57"/>
      <c r="O32" s="57"/>
      <c r="P32" s="57"/>
      <c r="Q32" s="57"/>
      <c r="R32" s="873">
        <v>12</v>
      </c>
      <c r="S32" s="874"/>
      <c r="T32" s="875" t="s">
        <v>198</v>
      </c>
      <c r="U32" s="876"/>
      <c r="V32" s="867">
        <v>150000</v>
      </c>
      <c r="W32" s="868"/>
      <c r="X32" s="869"/>
      <c r="Y32" s="870">
        <f>V32*R32</f>
        <v>1800000</v>
      </c>
      <c r="Z32" s="871"/>
      <c r="AA32" s="930"/>
      <c r="AE32" s="800">
        <v>150</v>
      </c>
      <c r="AF32" s="801"/>
      <c r="AG32" s="801"/>
      <c r="AH32" s="801"/>
    </row>
    <row r="33" spans="1:34" ht="15.95" customHeight="1" x14ac:dyDescent="0.2">
      <c r="A33" s="271"/>
      <c r="B33" s="25"/>
      <c r="C33" s="25"/>
      <c r="D33" s="25"/>
      <c r="E33" s="25"/>
      <c r="F33" s="25"/>
      <c r="G33" s="25"/>
      <c r="H33" s="25"/>
      <c r="I33" s="25"/>
      <c r="J33" s="25"/>
      <c r="K33" s="68" t="s">
        <v>250</v>
      </c>
      <c r="L33" s="57"/>
      <c r="M33" s="57"/>
      <c r="N33" s="57"/>
      <c r="O33" s="57"/>
      <c r="P33" s="57"/>
      <c r="Q33" s="57"/>
      <c r="R33" s="645"/>
      <c r="S33" s="646"/>
      <c r="T33" s="640"/>
      <c r="U33" s="641"/>
      <c r="V33" s="867"/>
      <c r="W33" s="868"/>
      <c r="X33" s="869"/>
      <c r="Y33" s="870"/>
      <c r="Z33" s="871"/>
      <c r="AA33" s="930"/>
      <c r="AE33" s="800"/>
      <c r="AF33" s="801"/>
      <c r="AG33" s="801"/>
      <c r="AH33" s="801"/>
    </row>
    <row r="34" spans="1:34" ht="15.95" customHeight="1" x14ac:dyDescent="0.2">
      <c r="A34" s="271"/>
      <c r="B34" s="25"/>
      <c r="C34" s="25"/>
      <c r="D34" s="25"/>
      <c r="E34" s="25"/>
      <c r="F34" s="25"/>
      <c r="G34" s="25"/>
      <c r="H34" s="25"/>
      <c r="I34" s="25"/>
      <c r="J34" s="25"/>
      <c r="K34" s="68" t="s">
        <v>449</v>
      </c>
      <c r="L34" s="60"/>
      <c r="M34" s="60"/>
      <c r="N34" s="60"/>
      <c r="O34" s="60"/>
      <c r="P34" s="60"/>
      <c r="Q34" s="60"/>
      <c r="R34" s="873">
        <v>12</v>
      </c>
      <c r="S34" s="874"/>
      <c r="T34" s="875" t="s">
        <v>198</v>
      </c>
      <c r="U34" s="876"/>
      <c r="V34" s="867">
        <v>150000</v>
      </c>
      <c r="W34" s="868"/>
      <c r="X34" s="869"/>
      <c r="Y34" s="870">
        <f>V34*R34</f>
        <v>1800000</v>
      </c>
      <c r="Z34" s="871"/>
      <c r="AA34" s="930"/>
      <c r="AE34" s="800"/>
      <c r="AF34" s="801"/>
      <c r="AG34" s="801"/>
      <c r="AH34" s="801"/>
    </row>
    <row r="35" spans="1:34" ht="15.95" customHeight="1" x14ac:dyDescent="0.2">
      <c r="A35" s="271"/>
      <c r="B35" s="25"/>
      <c r="C35" s="25"/>
      <c r="D35" s="25"/>
      <c r="E35" s="25"/>
      <c r="F35" s="25"/>
      <c r="G35" s="25"/>
      <c r="H35" s="25"/>
      <c r="I35" s="25"/>
      <c r="J35" s="25"/>
      <c r="K35" s="68" t="s">
        <v>450</v>
      </c>
      <c r="L35" s="60"/>
      <c r="M35" s="60"/>
      <c r="N35" s="60"/>
      <c r="O35" s="60"/>
      <c r="P35" s="60"/>
      <c r="Q35" s="60"/>
      <c r="R35" s="873">
        <v>12</v>
      </c>
      <c r="S35" s="874"/>
      <c r="T35" s="875" t="s">
        <v>198</v>
      </c>
      <c r="U35" s="876"/>
      <c r="V35" s="867">
        <v>150000</v>
      </c>
      <c r="W35" s="868"/>
      <c r="X35" s="869"/>
      <c r="Y35" s="870">
        <f>V35*R35</f>
        <v>1800000</v>
      </c>
      <c r="Z35" s="871"/>
      <c r="AA35" s="930"/>
      <c r="AE35" s="718"/>
      <c r="AF35" s="719"/>
      <c r="AG35" s="719"/>
      <c r="AH35" s="719"/>
    </row>
    <row r="36" spans="1:34" ht="15.95" customHeight="1" x14ac:dyDescent="0.2">
      <c r="A36" s="271"/>
      <c r="B36" s="25"/>
      <c r="C36" s="25"/>
      <c r="D36" s="25"/>
      <c r="E36" s="25"/>
      <c r="F36" s="25"/>
      <c r="G36" s="25"/>
      <c r="H36" s="25"/>
      <c r="I36" s="25"/>
      <c r="J36" s="25"/>
      <c r="K36" s="68" t="s">
        <v>447</v>
      </c>
      <c r="L36" s="60"/>
      <c r="M36" s="60"/>
      <c r="N36" s="60"/>
      <c r="O36" s="60"/>
      <c r="P36" s="60"/>
      <c r="Q36" s="60"/>
      <c r="R36" s="873" t="s">
        <v>380</v>
      </c>
      <c r="S36" s="874"/>
      <c r="T36" s="875" t="s">
        <v>380</v>
      </c>
      <c r="U36" s="876"/>
      <c r="V36" s="867">
        <v>0</v>
      </c>
      <c r="W36" s="868"/>
      <c r="X36" s="869"/>
      <c r="Y36" s="870">
        <f>32700000-27600000</f>
        <v>5100000</v>
      </c>
      <c r="Z36" s="871"/>
      <c r="AA36" s="930"/>
      <c r="AD36" s="48"/>
      <c r="AE36" s="718"/>
      <c r="AF36" s="719"/>
      <c r="AG36" s="719"/>
      <c r="AH36" s="719"/>
    </row>
    <row r="37" spans="1:34" ht="15.95" customHeight="1" x14ac:dyDescent="0.2">
      <c r="A37" s="270" t="s">
        <v>323</v>
      </c>
      <c r="B37" s="23" t="s">
        <v>323</v>
      </c>
      <c r="C37" s="23" t="s">
        <v>277</v>
      </c>
      <c r="D37" s="23" t="s">
        <v>44</v>
      </c>
      <c r="E37" s="23" t="s">
        <v>79</v>
      </c>
      <c r="F37" s="23" t="s">
        <v>40</v>
      </c>
      <c r="G37" s="23" t="s">
        <v>41</v>
      </c>
      <c r="H37" s="23" t="s">
        <v>41</v>
      </c>
      <c r="I37" s="23"/>
      <c r="J37" s="23"/>
      <c r="K37" s="53" t="s">
        <v>388</v>
      </c>
      <c r="L37" s="58"/>
      <c r="M37" s="58"/>
      <c r="N37" s="58"/>
      <c r="O37" s="58"/>
      <c r="P37" s="58"/>
      <c r="Q37" s="58"/>
      <c r="R37" s="942"/>
      <c r="S37" s="943"/>
      <c r="T37" s="942"/>
      <c r="U37" s="943"/>
      <c r="V37" s="942"/>
      <c r="W37" s="947"/>
      <c r="X37" s="943"/>
      <c r="Y37" s="917">
        <f>Y38</f>
        <v>750000</v>
      </c>
      <c r="Z37" s="918"/>
      <c r="AA37" s="948"/>
    </row>
    <row r="38" spans="1:34" ht="15.95" customHeight="1" x14ac:dyDescent="0.2">
      <c r="A38" s="270" t="s">
        <v>323</v>
      </c>
      <c r="B38" s="23" t="s">
        <v>323</v>
      </c>
      <c r="C38" s="23" t="s">
        <v>277</v>
      </c>
      <c r="D38" s="23" t="s">
        <v>44</v>
      </c>
      <c r="E38" s="23" t="s">
        <v>79</v>
      </c>
      <c r="F38" s="23" t="s">
        <v>40</v>
      </c>
      <c r="G38" s="23" t="s">
        <v>41</v>
      </c>
      <c r="H38" s="23" t="s">
        <v>41</v>
      </c>
      <c r="I38" s="23" t="s">
        <v>64</v>
      </c>
      <c r="J38" s="23"/>
      <c r="K38" s="54" t="s">
        <v>344</v>
      </c>
      <c r="L38" s="59"/>
      <c r="M38" s="59"/>
      <c r="N38" s="59"/>
      <c r="O38" s="59"/>
      <c r="P38" s="59"/>
      <c r="Q38" s="59"/>
      <c r="R38" s="875"/>
      <c r="S38" s="876"/>
      <c r="T38" s="875"/>
      <c r="U38" s="876"/>
      <c r="V38" s="875"/>
      <c r="W38" s="946"/>
      <c r="X38" s="876"/>
      <c r="Y38" s="917">
        <f>Y39</f>
        <v>750000</v>
      </c>
      <c r="Z38" s="918"/>
      <c r="AA38" s="948"/>
      <c r="AE38" s="800">
        <f>Y38/4</f>
        <v>187500</v>
      </c>
      <c r="AF38" s="801"/>
      <c r="AG38" s="801"/>
      <c r="AH38" s="801"/>
    </row>
    <row r="39" spans="1:34" ht="15.95" customHeight="1" x14ac:dyDescent="0.2">
      <c r="A39" s="271" t="s">
        <v>323</v>
      </c>
      <c r="B39" s="25" t="s">
        <v>323</v>
      </c>
      <c r="C39" s="25" t="s">
        <v>277</v>
      </c>
      <c r="D39" s="25" t="s">
        <v>44</v>
      </c>
      <c r="E39" s="25" t="s">
        <v>79</v>
      </c>
      <c r="F39" s="25" t="s">
        <v>40</v>
      </c>
      <c r="G39" s="25" t="s">
        <v>41</v>
      </c>
      <c r="H39" s="25" t="s">
        <v>41</v>
      </c>
      <c r="I39" s="25" t="s">
        <v>64</v>
      </c>
      <c r="J39" s="25" t="s">
        <v>47</v>
      </c>
      <c r="K39" s="24" t="s">
        <v>345</v>
      </c>
      <c r="L39" s="57"/>
      <c r="M39" s="57"/>
      <c r="N39" s="57"/>
      <c r="O39" s="57"/>
      <c r="P39" s="57"/>
      <c r="Q39" s="57"/>
      <c r="R39" s="873"/>
      <c r="S39" s="874"/>
      <c r="T39" s="875"/>
      <c r="U39" s="876"/>
      <c r="V39" s="875"/>
      <c r="W39" s="946"/>
      <c r="X39" s="876"/>
      <c r="Y39" s="870">
        <f>SUM(Y40:AA41)</f>
        <v>750000</v>
      </c>
      <c r="Z39" s="871"/>
      <c r="AA39" s="930"/>
    </row>
    <row r="40" spans="1:34" ht="18.75" customHeight="1" x14ac:dyDescent="0.2">
      <c r="A40" s="271"/>
      <c r="B40" s="25"/>
      <c r="C40" s="25"/>
      <c r="D40" s="25"/>
      <c r="E40" s="25"/>
      <c r="F40" s="25"/>
      <c r="G40" s="25"/>
      <c r="H40" s="25"/>
      <c r="I40" s="25"/>
      <c r="J40" s="25"/>
      <c r="K40" s="68" t="s">
        <v>448</v>
      </c>
      <c r="L40" s="57"/>
      <c r="M40" s="57"/>
      <c r="N40" s="57"/>
      <c r="O40" s="57"/>
      <c r="P40" s="57"/>
      <c r="Q40" s="57"/>
      <c r="R40" s="873">
        <v>30</v>
      </c>
      <c r="S40" s="874"/>
      <c r="T40" s="875" t="s">
        <v>209</v>
      </c>
      <c r="U40" s="876"/>
      <c r="V40" s="867">
        <v>25000</v>
      </c>
      <c r="W40" s="868"/>
      <c r="X40" s="869"/>
      <c r="Y40" s="870">
        <f>V40*R40</f>
        <v>750000</v>
      </c>
      <c r="Z40" s="871"/>
      <c r="AA40" s="930"/>
      <c r="AE40" s="800">
        <v>200</v>
      </c>
      <c r="AF40" s="801"/>
      <c r="AG40" s="801"/>
      <c r="AH40" s="801"/>
    </row>
    <row r="41" spans="1:34" ht="11.25" customHeight="1" x14ac:dyDescent="0.2">
      <c r="A41" s="271"/>
      <c r="B41" s="25"/>
      <c r="C41" s="25"/>
      <c r="D41" s="25"/>
      <c r="E41" s="25"/>
      <c r="F41" s="25"/>
      <c r="G41" s="25"/>
      <c r="H41" s="25"/>
      <c r="I41" s="25"/>
      <c r="J41" s="25"/>
      <c r="K41" s="68"/>
      <c r="L41" s="60"/>
      <c r="M41" s="60"/>
      <c r="N41" s="60"/>
      <c r="O41" s="60"/>
      <c r="P41" s="60"/>
      <c r="Q41" s="60"/>
      <c r="R41" s="873"/>
      <c r="S41" s="874"/>
      <c r="T41" s="875"/>
      <c r="U41" s="876"/>
      <c r="V41" s="867"/>
      <c r="W41" s="868"/>
      <c r="X41" s="869"/>
      <c r="Y41" s="870"/>
      <c r="Z41" s="871"/>
      <c r="AA41" s="930"/>
      <c r="AE41" s="800"/>
      <c r="AF41" s="801"/>
      <c r="AG41" s="801"/>
      <c r="AH41" s="801"/>
    </row>
    <row r="42" spans="1:34" ht="16.5" customHeight="1" x14ac:dyDescent="0.2">
      <c r="A42" s="300"/>
      <c r="B42" s="71"/>
      <c r="C42" s="71"/>
      <c r="D42" s="71"/>
      <c r="E42" s="71"/>
      <c r="F42" s="71"/>
      <c r="G42" s="71"/>
      <c r="H42" s="71"/>
      <c r="I42" s="71"/>
      <c r="J42" s="71"/>
      <c r="K42" s="32"/>
      <c r="L42" s="32"/>
      <c r="M42" s="32"/>
      <c r="N42" s="32"/>
      <c r="O42" s="32"/>
      <c r="P42" s="32"/>
      <c r="Q42" s="32"/>
      <c r="R42" s="882"/>
      <c r="S42" s="882"/>
      <c r="T42" s="883"/>
      <c r="U42" s="883"/>
      <c r="V42" s="884" t="s">
        <v>28</v>
      </c>
      <c r="W42" s="884"/>
      <c r="X42" s="885"/>
      <c r="Y42" s="886">
        <f>Y37+Y25</f>
        <v>33450000</v>
      </c>
      <c r="Z42" s="887"/>
      <c r="AA42" s="949"/>
      <c r="AE42" s="800">
        <f>SUM(AE29:AH41)</f>
        <v>14028000</v>
      </c>
      <c r="AF42" s="801"/>
      <c r="AG42" s="801"/>
      <c r="AH42" s="801"/>
    </row>
    <row r="43" spans="1:34" ht="15.75" customHeight="1" x14ac:dyDescent="0.2">
      <c r="A43" s="277"/>
      <c r="B43" s="16" t="s">
        <v>306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67"/>
    </row>
    <row r="44" spans="1:34" ht="3.75" customHeight="1" x14ac:dyDescent="0.2">
      <c r="A44" s="278"/>
      <c r="B44" s="13"/>
      <c r="C44" s="13"/>
      <c r="D44" s="13"/>
      <c r="E44" s="13"/>
      <c r="F44" s="13"/>
      <c r="G44" s="13"/>
      <c r="H44" s="27"/>
      <c r="I44" s="13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13"/>
      <c r="V44" s="13"/>
      <c r="W44" s="13"/>
      <c r="X44" s="35"/>
      <c r="Y44" s="13"/>
      <c r="Z44" s="13"/>
      <c r="AA44" s="279"/>
    </row>
    <row r="45" spans="1:34" ht="18.75" customHeight="1" x14ac:dyDescent="0.2">
      <c r="A45" s="278"/>
      <c r="B45" s="13" t="s">
        <v>29</v>
      </c>
      <c r="C45" s="27"/>
      <c r="D45" s="13"/>
      <c r="E45" s="13"/>
      <c r="F45" s="40" t="s">
        <v>89</v>
      </c>
      <c r="G45" s="878">
        <f>Y26/4+250000</f>
        <v>8425000</v>
      </c>
      <c r="H45" s="878"/>
      <c r="I45" s="878"/>
      <c r="J45" s="878"/>
      <c r="K45" s="13"/>
      <c r="L45" s="13"/>
      <c r="M45" s="13"/>
      <c r="N45" s="13"/>
      <c r="O45" s="28"/>
      <c r="P45" s="28"/>
      <c r="Q45" s="28"/>
      <c r="R45" s="28"/>
      <c r="S45" s="28"/>
      <c r="T45" s="28"/>
      <c r="U45" s="620" t="str">
        <f>Litrik!U37</f>
        <v>CAMAT SUKOHARJO</v>
      </c>
      <c r="V45" s="13"/>
      <c r="W45" s="582"/>
      <c r="X45" s="13"/>
      <c r="Y45" s="13"/>
      <c r="Z45" s="13"/>
      <c r="AA45" s="279"/>
    </row>
    <row r="46" spans="1:34" ht="18.75" customHeight="1" x14ac:dyDescent="0.2">
      <c r="A46" s="278"/>
      <c r="B46" s="13" t="s">
        <v>30</v>
      </c>
      <c r="C46" s="27"/>
      <c r="D46" s="13"/>
      <c r="E46" s="13"/>
      <c r="F46" s="40" t="s">
        <v>89</v>
      </c>
      <c r="G46" s="878">
        <f>Y25/4+250000</f>
        <v>8425000</v>
      </c>
      <c r="H46" s="878"/>
      <c r="I46" s="878"/>
      <c r="J46" s="878"/>
      <c r="K46" s="13"/>
      <c r="L46" s="13"/>
      <c r="M46" s="13"/>
      <c r="N46" s="13"/>
      <c r="O46" s="28"/>
      <c r="P46" s="28"/>
      <c r="Q46" s="28"/>
      <c r="R46" s="28"/>
      <c r="S46" s="28"/>
      <c r="T46" s="28"/>
      <c r="U46" s="620"/>
      <c r="V46" s="13"/>
      <c r="W46" s="620"/>
      <c r="X46" s="13"/>
      <c r="Y46" s="13"/>
      <c r="Z46" s="13"/>
      <c r="AA46" s="279"/>
    </row>
    <row r="47" spans="1:34" ht="18.75" customHeight="1" x14ac:dyDescent="0.2">
      <c r="A47" s="278"/>
      <c r="B47" s="13" t="s">
        <v>31</v>
      </c>
      <c r="C47" s="27"/>
      <c r="D47" s="13"/>
      <c r="E47" s="13"/>
      <c r="F47" s="40" t="s">
        <v>89</v>
      </c>
      <c r="G47" s="878">
        <f>Y25/4</f>
        <v>8175000</v>
      </c>
      <c r="H47" s="878"/>
      <c r="I47" s="878"/>
      <c r="J47" s="878"/>
      <c r="K47" s="13"/>
      <c r="L47" s="13"/>
      <c r="M47" s="13"/>
      <c r="N47" s="13"/>
      <c r="O47" s="28"/>
      <c r="P47" s="28"/>
      <c r="Q47" s="28"/>
      <c r="R47" s="28"/>
      <c r="S47" s="28"/>
      <c r="T47" s="28"/>
      <c r="U47" s="620"/>
      <c r="V47" s="13"/>
      <c r="W47" s="35"/>
      <c r="X47" s="13"/>
      <c r="Y47" s="13"/>
      <c r="Z47" s="13"/>
      <c r="AA47" s="279"/>
    </row>
    <row r="48" spans="1:34" ht="18.75" customHeight="1" x14ac:dyDescent="0.2">
      <c r="A48" s="278"/>
      <c r="B48" s="13" t="s">
        <v>32</v>
      </c>
      <c r="C48" s="30"/>
      <c r="D48" s="29"/>
      <c r="E48" s="13"/>
      <c r="F48" s="40" t="s">
        <v>89</v>
      </c>
      <c r="G48" s="965">
        <f>Y25/4+250000</f>
        <v>8425000</v>
      </c>
      <c r="H48" s="965"/>
      <c r="I48" s="965"/>
      <c r="J48" s="965"/>
      <c r="K48" s="13"/>
      <c r="L48" s="13"/>
      <c r="M48" s="13"/>
      <c r="N48" s="13"/>
      <c r="O48" s="31"/>
      <c r="P48" s="31"/>
      <c r="Q48" s="31"/>
      <c r="R48" s="31"/>
      <c r="S48" s="31"/>
      <c r="T48" s="31"/>
      <c r="U48" s="620"/>
      <c r="V48" s="13"/>
      <c r="W48" s="52"/>
      <c r="X48" s="13"/>
      <c r="Y48" s="13"/>
      <c r="Z48" s="13"/>
      <c r="AA48" s="279"/>
    </row>
    <row r="49" spans="1:38" ht="16.5" customHeight="1" thickBot="1" x14ac:dyDescent="0.25">
      <c r="A49" s="278"/>
      <c r="B49" s="13"/>
      <c r="C49" s="13"/>
      <c r="D49" s="62" t="s">
        <v>28</v>
      </c>
      <c r="E49" s="13"/>
      <c r="F49" s="40" t="s">
        <v>89</v>
      </c>
      <c r="G49" s="877">
        <f>SUM(G45:J48)</f>
        <v>33450000</v>
      </c>
      <c r="H49" s="877"/>
      <c r="I49" s="877"/>
      <c r="J49" s="87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52" t="str">
        <f>Litrik!U41</f>
        <v>DUDI WARDOYO, AP, M.M</v>
      </c>
      <c r="V49" s="13"/>
      <c r="W49" s="35"/>
      <c r="X49" s="13"/>
      <c r="Y49" s="34"/>
      <c r="Z49" s="34"/>
      <c r="AA49" s="280"/>
    </row>
    <row r="50" spans="1:38" ht="15" customHeight="1" thickTop="1" x14ac:dyDescent="0.3">
      <c r="A50" s="278"/>
      <c r="B50" s="13"/>
      <c r="C50" s="13"/>
      <c r="D50" s="62"/>
      <c r="E50" s="13"/>
      <c r="F50" s="40"/>
      <c r="G50" s="622"/>
      <c r="H50" s="622"/>
      <c r="I50" s="622"/>
      <c r="J50" s="62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668" t="str">
        <f>Litrik!U42</f>
        <v>Pembina Tk. I</v>
      </c>
      <c r="V50" s="13"/>
      <c r="W50" s="620"/>
      <c r="X50" s="13"/>
      <c r="Y50" s="34"/>
      <c r="Z50" s="34"/>
      <c r="AA50" s="280"/>
    </row>
    <row r="51" spans="1:38" ht="12.75" customHeight="1" x14ac:dyDescent="0.2">
      <c r="A51" s="28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620" t="str">
        <f>Litrik!U43</f>
        <v>NIP. 19741009 199311 1 001</v>
      </c>
      <c r="V51" s="10"/>
      <c r="W51" s="35"/>
      <c r="X51" s="10"/>
      <c r="Y51" s="10"/>
      <c r="Z51" s="10"/>
      <c r="AA51" s="282"/>
    </row>
    <row r="52" spans="1:38" s="138" customFormat="1" ht="18.75" customHeight="1" x14ac:dyDescent="0.2">
      <c r="A52" s="865" t="s">
        <v>194</v>
      </c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959" t="str">
        <f>Litrik!W45</f>
        <v>Wonosobo,        Januari 2019</v>
      </c>
      <c r="T52" s="960"/>
      <c r="U52" s="960"/>
      <c r="V52" s="960"/>
      <c r="W52" s="960"/>
      <c r="X52" s="960"/>
      <c r="Y52" s="960"/>
      <c r="Z52" s="960"/>
      <c r="AA52" s="961"/>
      <c r="AD52" s="136"/>
      <c r="AG52" s="136"/>
      <c r="AI52" s="136"/>
      <c r="AL52" s="136"/>
    </row>
    <row r="53" spans="1:38" ht="4.5" customHeight="1" x14ac:dyDescent="0.2">
      <c r="A53" s="27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62"/>
      <c r="T53" s="963"/>
      <c r="U53" s="963"/>
      <c r="V53" s="963"/>
      <c r="W53" s="963"/>
      <c r="X53" s="963"/>
      <c r="Y53" s="963"/>
      <c r="Z53" s="963"/>
      <c r="AA53" s="964"/>
    </row>
    <row r="54" spans="1:38" ht="3.75" customHeight="1" x14ac:dyDescent="0.2">
      <c r="A54" s="27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2"/>
      <c r="T54" s="13"/>
      <c r="U54" s="13"/>
      <c r="V54" s="13"/>
      <c r="W54" s="35"/>
      <c r="X54" s="13"/>
      <c r="Y54" s="13"/>
      <c r="Z54" s="13"/>
      <c r="AA54" s="279"/>
    </row>
    <row r="55" spans="1:38" ht="18.75" customHeight="1" x14ac:dyDescent="0.2">
      <c r="A55" s="283"/>
      <c r="B55" s="26"/>
      <c r="C55" s="13"/>
      <c r="D55" s="13"/>
      <c r="E55" s="13"/>
      <c r="F55" s="44"/>
      <c r="G55" s="13"/>
      <c r="H55" s="13"/>
      <c r="K55" s="64"/>
      <c r="L55" s="47"/>
      <c r="M55" s="47"/>
      <c r="N55" s="47"/>
      <c r="O55" s="13"/>
      <c r="P55" s="13"/>
      <c r="Q55" s="13"/>
      <c r="R55" s="47"/>
      <c r="S55" s="522"/>
      <c r="T55" s="47"/>
      <c r="U55" s="13"/>
      <c r="V55" s="13"/>
      <c r="W55" s="35" t="s">
        <v>33</v>
      </c>
      <c r="X55" s="13"/>
      <c r="Y55" s="13"/>
      <c r="Z55" s="13"/>
      <c r="AA55" s="279"/>
    </row>
    <row r="56" spans="1:38" ht="15.75" customHeight="1" x14ac:dyDescent="0.2">
      <c r="A56" s="283"/>
      <c r="B56" s="26" t="s">
        <v>34</v>
      </c>
      <c r="C56" s="13" t="str">
        <f>Litrik!C47</f>
        <v>RIDWAN SETIA N, S.Kom</v>
      </c>
      <c r="D56" s="13"/>
      <c r="E56" s="13"/>
      <c r="F56" s="44"/>
      <c r="G56" s="13"/>
      <c r="H56" s="13"/>
      <c r="K56" s="64" t="s">
        <v>34</v>
      </c>
      <c r="L56" s="47" t="s">
        <v>196</v>
      </c>
      <c r="M56" s="13"/>
      <c r="N56" s="13"/>
      <c r="O56" s="13"/>
      <c r="P56" s="13"/>
      <c r="Q56" s="13"/>
      <c r="R56" s="13"/>
      <c r="S56" s="12"/>
      <c r="T56" s="13"/>
      <c r="U56" s="13"/>
      <c r="V56" s="13"/>
      <c r="W56" s="35" t="s">
        <v>85</v>
      </c>
      <c r="X56" s="13"/>
      <c r="Y56" s="13"/>
      <c r="Z56" s="13"/>
      <c r="AA56" s="279"/>
    </row>
    <row r="57" spans="1:38" ht="9.75" customHeight="1" x14ac:dyDescent="0.2">
      <c r="A57" s="283"/>
      <c r="D57" s="13"/>
      <c r="E57" s="13"/>
      <c r="F57" s="44"/>
      <c r="G57" s="13"/>
      <c r="H57" s="13"/>
      <c r="K57" s="47"/>
      <c r="L57" s="47"/>
      <c r="O57" s="13"/>
      <c r="P57" s="13"/>
      <c r="Q57" s="13"/>
      <c r="R57" s="47"/>
      <c r="S57" s="522"/>
      <c r="T57" s="47"/>
      <c r="U57" s="13"/>
      <c r="V57" s="13"/>
      <c r="W57" s="65"/>
      <c r="X57" s="13"/>
      <c r="Y57" s="13"/>
      <c r="Z57" s="13"/>
      <c r="AA57" s="279"/>
    </row>
    <row r="58" spans="1:38" ht="16.5" customHeight="1" x14ac:dyDescent="0.2">
      <c r="A58" s="278"/>
      <c r="N58" s="44"/>
      <c r="O58" s="13"/>
      <c r="P58" s="13"/>
      <c r="Q58" s="13"/>
      <c r="R58" s="44"/>
      <c r="S58" s="46"/>
      <c r="T58" s="44"/>
      <c r="U58" s="44"/>
      <c r="V58" s="44"/>
      <c r="W58" s="35"/>
      <c r="X58" s="44"/>
      <c r="Y58" s="44"/>
      <c r="Z58" s="44"/>
      <c r="AA58" s="284"/>
    </row>
    <row r="59" spans="1:38" s="33" customFormat="1" ht="15.75" customHeight="1" x14ac:dyDescent="0.2">
      <c r="A59" s="285"/>
      <c r="B59" s="26" t="s">
        <v>35</v>
      </c>
      <c r="C59" s="13" t="str">
        <f>Litrik!C50</f>
        <v>SABAR KHOIRI</v>
      </c>
      <c r="D59" s="44"/>
      <c r="E59" s="44"/>
      <c r="F59" s="13"/>
      <c r="G59" s="13"/>
      <c r="H59" s="13"/>
      <c r="I59" s="15"/>
      <c r="J59" s="15"/>
      <c r="K59" s="64" t="s">
        <v>35</v>
      </c>
      <c r="L59" s="47" t="s">
        <v>309</v>
      </c>
      <c r="M59" s="44"/>
      <c r="N59" s="35"/>
      <c r="O59" s="35"/>
      <c r="P59" s="35"/>
      <c r="Q59" s="35"/>
      <c r="R59" s="35"/>
      <c r="S59" s="36"/>
      <c r="T59" s="35"/>
      <c r="U59" s="66"/>
      <c r="V59" s="66"/>
      <c r="W59" s="52" t="str">
        <f>Litrik!W51</f>
        <v>Drs. M. KRISTIJADI, M.Si</v>
      </c>
      <c r="X59" s="66"/>
      <c r="Y59" s="66"/>
      <c r="Z59" s="13"/>
      <c r="AA59" s="279"/>
    </row>
    <row r="60" spans="1:38" s="33" customFormat="1" ht="15.75" customHeight="1" x14ac:dyDescent="0.2">
      <c r="A60" s="285"/>
      <c r="B60" s="26"/>
      <c r="C60" s="13"/>
      <c r="D60" s="13"/>
      <c r="E60" s="13"/>
      <c r="F60" s="35"/>
      <c r="G60" s="35"/>
      <c r="H60" s="35"/>
      <c r="I60" s="64"/>
      <c r="J60" s="47"/>
      <c r="K60" s="35"/>
      <c r="L60" s="35"/>
      <c r="M60" s="35"/>
      <c r="N60" s="35"/>
      <c r="O60" s="35"/>
      <c r="P60" s="35"/>
      <c r="Q60" s="35"/>
      <c r="R60" s="35"/>
      <c r="S60" s="36"/>
      <c r="T60" s="35"/>
      <c r="U60" s="66"/>
      <c r="V60" s="66"/>
      <c r="W60" s="35" t="str">
        <f>Litrik!W52</f>
        <v>Pembina Utama Muda</v>
      </c>
      <c r="X60" s="66"/>
      <c r="Y60" s="66"/>
      <c r="Z60" s="13"/>
      <c r="AA60" s="279"/>
    </row>
    <row r="61" spans="1:38" s="33" customFormat="1" ht="18" customHeight="1" thickBot="1" x14ac:dyDescent="0.25">
      <c r="A61" s="293"/>
      <c r="B61" s="289"/>
      <c r="C61" s="289"/>
      <c r="D61" s="289"/>
      <c r="E61" s="289"/>
      <c r="F61" s="289"/>
      <c r="G61" s="294"/>
      <c r="H61" s="288"/>
      <c r="I61" s="288"/>
      <c r="J61" s="288"/>
      <c r="K61" s="289"/>
      <c r="L61" s="289"/>
      <c r="M61" s="289"/>
      <c r="N61" s="295"/>
      <c r="O61" s="296"/>
      <c r="P61" s="289"/>
      <c r="Q61" s="289"/>
      <c r="R61" s="289"/>
      <c r="S61" s="523"/>
      <c r="T61" s="289"/>
      <c r="U61" s="297"/>
      <c r="V61" s="297"/>
      <c r="W61" s="289" t="str">
        <f>Litrik!W53</f>
        <v>NIP. 19681226 199403 1 005</v>
      </c>
      <c r="X61" s="297"/>
      <c r="Y61" s="297"/>
      <c r="Z61" s="288"/>
      <c r="AA61" s="290"/>
    </row>
    <row r="62" spans="1:38" ht="13.5" hidden="1" customHeight="1" x14ac:dyDescent="0.2">
      <c r="A62" s="63"/>
      <c r="B62" s="121"/>
      <c r="C62" s="121"/>
      <c r="D62" s="121"/>
      <c r="E62" s="121"/>
      <c r="F62" s="1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37"/>
      <c r="X62" s="10"/>
      <c r="Y62" s="10"/>
      <c r="Z62" s="10"/>
      <c r="AA62" s="11"/>
    </row>
    <row r="63" spans="1:38" ht="17.25" thickTop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</sheetData>
  <mergeCells count="118">
    <mergeCell ref="S52:AA53"/>
    <mergeCell ref="R41:S41"/>
    <mergeCell ref="T41:U41"/>
    <mergeCell ref="T39:U39"/>
    <mergeCell ref="V39:X39"/>
    <mergeCell ref="Y39:AA39"/>
    <mergeCell ref="R40:S40"/>
    <mergeCell ref="T40:U40"/>
    <mergeCell ref="V40:X40"/>
    <mergeCell ref="Y40:AA40"/>
    <mergeCell ref="A52:R52"/>
    <mergeCell ref="G49:J49"/>
    <mergeCell ref="V42:X42"/>
    <mergeCell ref="T42:U42"/>
    <mergeCell ref="G48:J48"/>
    <mergeCell ref="G47:J47"/>
    <mergeCell ref="G46:J46"/>
    <mergeCell ref="G45:J45"/>
    <mergeCell ref="R42:S42"/>
    <mergeCell ref="R39:S39"/>
    <mergeCell ref="V41:X41"/>
    <mergeCell ref="T37:U37"/>
    <mergeCell ref="V37:X37"/>
    <mergeCell ref="Y37:AA37"/>
    <mergeCell ref="R38:S38"/>
    <mergeCell ref="T38:U38"/>
    <mergeCell ref="V38:X38"/>
    <mergeCell ref="Y38:AA38"/>
    <mergeCell ref="R35:S35"/>
    <mergeCell ref="T29:U29"/>
    <mergeCell ref="R36:S36"/>
    <mergeCell ref="T36:U36"/>
    <mergeCell ref="V36:X36"/>
    <mergeCell ref="Y36:AA36"/>
    <mergeCell ref="V30:X30"/>
    <mergeCell ref="R32:S32"/>
    <mergeCell ref="T35:U35"/>
    <mergeCell ref="V35:X35"/>
    <mergeCell ref="V33:X33"/>
    <mergeCell ref="V31:X31"/>
    <mergeCell ref="R30:S30"/>
    <mergeCell ref="R31:S31"/>
    <mergeCell ref="R37:S37"/>
    <mergeCell ref="T26:U26"/>
    <mergeCell ref="T27:U27"/>
    <mergeCell ref="Y27:AA27"/>
    <mergeCell ref="V27:X27"/>
    <mergeCell ref="V25:X25"/>
    <mergeCell ref="R27:S27"/>
    <mergeCell ref="R26:S26"/>
    <mergeCell ref="V26:X26"/>
    <mergeCell ref="R22:S22"/>
    <mergeCell ref="T22:U22"/>
    <mergeCell ref="V22:X22"/>
    <mergeCell ref="R23:S23"/>
    <mergeCell ref="R25:S25"/>
    <mergeCell ref="Y14:AA14"/>
    <mergeCell ref="Y25:AA25"/>
    <mergeCell ref="Y16:AA16"/>
    <mergeCell ref="Y15:AA15"/>
    <mergeCell ref="A19:AA19"/>
    <mergeCell ref="Y21:AA22"/>
    <mergeCell ref="R21:X21"/>
    <mergeCell ref="K21:Q22"/>
    <mergeCell ref="A21:J22"/>
    <mergeCell ref="A20:AA20"/>
    <mergeCell ref="V23:X23"/>
    <mergeCell ref="T23:U23"/>
    <mergeCell ref="Y17:AA17"/>
    <mergeCell ref="T25:U25"/>
    <mergeCell ref="R24:S24"/>
    <mergeCell ref="T24:U24"/>
    <mergeCell ref="V24:X24"/>
    <mergeCell ref="Y24:AA24"/>
    <mergeCell ref="A13:F13"/>
    <mergeCell ref="A2:Q2"/>
    <mergeCell ref="A3:AA3"/>
    <mergeCell ref="A12:AA12"/>
    <mergeCell ref="Y13:AA13"/>
    <mergeCell ref="G13:X13"/>
    <mergeCell ref="AE34:AH34"/>
    <mergeCell ref="R1:X1"/>
    <mergeCell ref="Y23:AA23"/>
    <mergeCell ref="A4:AA4"/>
    <mergeCell ref="M5:AA5"/>
    <mergeCell ref="K23:Q23"/>
    <mergeCell ref="A23:J23"/>
    <mergeCell ref="A1:Q1"/>
    <mergeCell ref="V29:X29"/>
    <mergeCell ref="V32:X32"/>
    <mergeCell ref="R34:S34"/>
    <mergeCell ref="Y1:AA2"/>
    <mergeCell ref="T34:U34"/>
    <mergeCell ref="V34:X34"/>
    <mergeCell ref="T31:U31"/>
    <mergeCell ref="T32:U32"/>
    <mergeCell ref="T30:U30"/>
    <mergeCell ref="R29:S29"/>
    <mergeCell ref="AE26:AH26"/>
    <mergeCell ref="Y26:AA26"/>
    <mergeCell ref="Y33:AA33"/>
    <mergeCell ref="Y30:AA30"/>
    <mergeCell ref="Y29:AA29"/>
    <mergeCell ref="AE30:AH30"/>
    <mergeCell ref="AE31:AH31"/>
    <mergeCell ref="AE33:AH33"/>
    <mergeCell ref="Y42:AA42"/>
    <mergeCell ref="AE29:AH29"/>
    <mergeCell ref="Y41:AA41"/>
    <mergeCell ref="Y32:AA32"/>
    <mergeCell ref="Y31:AA31"/>
    <mergeCell ref="Y35:AA35"/>
    <mergeCell ref="Y34:AA34"/>
    <mergeCell ref="AE38:AH38"/>
    <mergeCell ref="AE40:AH40"/>
    <mergeCell ref="AE32:AH32"/>
    <mergeCell ref="AE41:AH41"/>
    <mergeCell ref="AE42:AH42"/>
  </mergeCells>
  <phoneticPr fontId="2" type="noConversion"/>
  <printOptions horizontalCentered="1"/>
  <pageMargins left="0.35433070866141736" right="0.11811023622047245" top="0.47244094488188981" bottom="1.1100000000000001" header="0" footer="0.51181102362204722"/>
  <pageSetup paperSize="5" scale="85" orientation="portrait" horizontalDpi="4294967293" r:id="rId1"/>
  <headerFooter alignWithMargins="0"/>
  <rowBreaks count="2" manualBreakCount="2">
    <brk id="76" max="33" man="1"/>
    <brk id="81" max="33" man="1"/>
  </rowBreaks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0"/>
  <sheetViews>
    <sheetView showGridLines="0" view="pageBreakPreview" topLeftCell="J49" zoomScale="90" zoomScaleSheetLayoutView="90" workbookViewId="0">
      <selection activeCell="AE58" sqref="AE58"/>
    </sheetView>
  </sheetViews>
  <sheetFormatPr defaultColWidth="4.42578125" defaultRowHeight="16.5" x14ac:dyDescent="0.2"/>
  <cols>
    <col min="1" max="10" width="3.7109375" style="138" customWidth="1"/>
    <col min="11" max="11" width="8" style="138" bestFit="1" customWidth="1"/>
    <col min="12" max="22" width="4.42578125" style="138"/>
    <col min="23" max="23" width="4" style="138" customWidth="1"/>
    <col min="24" max="25" width="4.42578125" style="138"/>
    <col min="26" max="26" width="1.7109375" style="138" customWidth="1"/>
    <col min="27" max="27" width="12" style="138" customWidth="1"/>
    <col min="28" max="28" width="9.85546875" style="138" hidden="1" customWidth="1"/>
    <col min="29" max="29" width="11.7109375" style="138" customWidth="1"/>
    <col min="30" max="36" width="10.140625" style="138" customWidth="1"/>
    <col min="37" max="38" width="11.7109375" style="138" customWidth="1"/>
    <col min="39" max="39" width="12" style="673" customWidth="1"/>
    <col min="40" max="40" width="12.140625" style="138" customWidth="1"/>
    <col min="41" max="41" width="10.140625" style="138" customWidth="1"/>
    <col min="42" max="43" width="4.42578125" style="138"/>
    <col min="44" max="44" width="13.85546875" style="138" customWidth="1"/>
    <col min="45" max="16384" width="4.42578125" style="138"/>
  </cols>
  <sheetData>
    <row r="1" spans="1:44" ht="20.25" customHeight="1" thickTop="1" x14ac:dyDescent="0.2">
      <c r="A1" s="1058" t="s">
        <v>193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50" t="s">
        <v>26</v>
      </c>
      <c r="S1" s="1050"/>
      <c r="T1" s="1050"/>
      <c r="U1" s="1050"/>
      <c r="V1" s="1050"/>
      <c r="W1" s="1050"/>
      <c r="X1" s="1050"/>
      <c r="Y1" s="1045" t="s">
        <v>207</v>
      </c>
      <c r="Z1" s="1046"/>
      <c r="AA1" s="1047"/>
    </row>
    <row r="2" spans="1:44" ht="24.75" customHeight="1" x14ac:dyDescent="0.2">
      <c r="A2" s="1011" t="s">
        <v>87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337" t="s">
        <v>323</v>
      </c>
      <c r="S2" s="337" t="s">
        <v>323</v>
      </c>
      <c r="T2" s="337" t="s">
        <v>277</v>
      </c>
      <c r="U2" s="531" t="s">
        <v>44</v>
      </c>
      <c r="V2" s="337" t="s">
        <v>81</v>
      </c>
      <c r="W2" s="337" t="s">
        <v>40</v>
      </c>
      <c r="X2" s="337" t="s">
        <v>41</v>
      </c>
      <c r="Y2" s="1048"/>
      <c r="Z2" s="1012"/>
      <c r="AA2" s="1049"/>
    </row>
    <row r="3" spans="1:44" ht="12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44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44" s="15" customFormat="1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</row>
    <row r="6" spans="1:44" ht="17.25" customHeight="1" x14ac:dyDescent="0.2">
      <c r="A6" s="268" t="s">
        <v>19</v>
      </c>
      <c r="B6" s="120"/>
      <c r="C6" s="120"/>
      <c r="D6" s="120"/>
      <c r="E6" s="120"/>
      <c r="F6" s="120"/>
      <c r="G6" s="688" t="s">
        <v>89</v>
      </c>
      <c r="H6" s="61" t="s">
        <v>325</v>
      </c>
      <c r="I6" s="61"/>
      <c r="J6" s="61"/>
      <c r="K6" s="338"/>
      <c r="L6" s="338"/>
      <c r="M6" s="18" t="s">
        <v>178</v>
      </c>
      <c r="N6" s="338"/>
      <c r="O6" s="338"/>
      <c r="P6" s="338"/>
      <c r="Q6" s="18"/>
      <c r="R6" s="18"/>
      <c r="S6" s="18"/>
      <c r="T6" s="18"/>
      <c r="U6" s="18"/>
      <c r="V6" s="18"/>
      <c r="W6" s="18"/>
      <c r="X6" s="18"/>
      <c r="Y6" s="18"/>
      <c r="Z6" s="18"/>
      <c r="AA6" s="269"/>
    </row>
    <row r="7" spans="1:44" ht="17.25" customHeight="1" x14ac:dyDescent="0.2">
      <c r="A7" s="268" t="s">
        <v>20</v>
      </c>
      <c r="B7" s="120"/>
      <c r="C7" s="120"/>
      <c r="D7" s="120"/>
      <c r="E7" s="120"/>
      <c r="F7" s="120"/>
      <c r="G7" s="688" t="s">
        <v>89</v>
      </c>
      <c r="H7" s="61" t="s">
        <v>328</v>
      </c>
      <c r="I7" s="61"/>
      <c r="J7" s="61"/>
      <c r="K7" s="338" t="s">
        <v>44</v>
      </c>
      <c r="L7" s="338"/>
      <c r="M7" s="18" t="s">
        <v>101</v>
      </c>
      <c r="N7" s="338"/>
      <c r="O7" s="338"/>
      <c r="P7" s="338"/>
      <c r="Q7" s="18"/>
      <c r="R7" s="18"/>
      <c r="S7" s="18"/>
      <c r="T7" s="18"/>
      <c r="U7" s="18"/>
      <c r="V7" s="18"/>
      <c r="W7" s="18"/>
      <c r="X7" s="18"/>
      <c r="Y7" s="18"/>
      <c r="Z7" s="18"/>
      <c r="AA7" s="269"/>
    </row>
    <row r="8" spans="1:44" ht="18.75" customHeight="1" x14ac:dyDescent="0.2">
      <c r="A8" s="268" t="s">
        <v>21</v>
      </c>
      <c r="B8" s="120"/>
      <c r="C8" s="120"/>
      <c r="D8" s="120"/>
      <c r="E8" s="120"/>
      <c r="F8" s="120"/>
      <c r="G8" s="688" t="s">
        <v>89</v>
      </c>
      <c r="H8" s="61" t="s">
        <v>328</v>
      </c>
      <c r="I8" s="61"/>
      <c r="J8" s="61"/>
      <c r="K8" s="338" t="s">
        <v>407</v>
      </c>
      <c r="L8" s="338"/>
      <c r="M8" s="18" t="s">
        <v>92</v>
      </c>
      <c r="N8" s="338"/>
      <c r="O8" s="338"/>
      <c r="P8" s="338"/>
      <c r="Q8" s="18"/>
      <c r="R8" s="18"/>
      <c r="S8" s="18"/>
      <c r="T8" s="18"/>
      <c r="U8" s="18"/>
      <c r="V8" s="18"/>
      <c r="W8" s="18"/>
      <c r="X8" s="18"/>
      <c r="Y8" s="18"/>
      <c r="Z8" s="18"/>
      <c r="AA8" s="269"/>
    </row>
    <row r="9" spans="1:44" ht="18.75" customHeight="1" x14ac:dyDescent="0.2">
      <c r="A9" s="268" t="s">
        <v>22</v>
      </c>
      <c r="B9" s="120"/>
      <c r="C9" s="120"/>
      <c r="D9" s="120"/>
      <c r="E9" s="120"/>
      <c r="F9" s="120"/>
      <c r="G9" s="688" t="s">
        <v>89</v>
      </c>
      <c r="H9" s="18" t="s">
        <v>384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44" ht="18.75" customHeight="1" x14ac:dyDescent="0.2">
      <c r="A10" s="268" t="s">
        <v>23</v>
      </c>
      <c r="B10" s="120"/>
      <c r="C10" s="120"/>
      <c r="D10" s="120"/>
      <c r="E10" s="120"/>
      <c r="F10" s="120"/>
      <c r="G10" s="688" t="s">
        <v>89</v>
      </c>
      <c r="H10" s="18" t="s">
        <v>178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44" ht="18.75" customHeight="1" x14ac:dyDescent="0.2">
      <c r="A11" s="268" t="s">
        <v>24</v>
      </c>
      <c r="B11" s="120"/>
      <c r="C11" s="120"/>
      <c r="D11" s="120"/>
      <c r="E11" s="120"/>
      <c r="F11" s="120"/>
      <c r="G11" s="688" t="s">
        <v>89</v>
      </c>
      <c r="H11" s="18" t="s">
        <v>385</v>
      </c>
      <c r="I11" s="20"/>
      <c r="J11" s="20"/>
      <c r="K11" s="20"/>
      <c r="L11" s="20"/>
      <c r="M11" s="18"/>
      <c r="N11" s="20"/>
      <c r="O11" s="20"/>
      <c r="P11" s="2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69"/>
    </row>
    <row r="12" spans="1:44" ht="18.75" customHeight="1" x14ac:dyDescent="0.2">
      <c r="A12" s="1037" t="s">
        <v>8</v>
      </c>
      <c r="B12" s="1038"/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8"/>
      <c r="U12" s="1038"/>
      <c r="V12" s="1038"/>
      <c r="W12" s="1038"/>
      <c r="X12" s="1038"/>
      <c r="Y12" s="1038"/>
      <c r="Z12" s="1038"/>
      <c r="AA12" s="1051"/>
    </row>
    <row r="13" spans="1:44" ht="16.5" customHeight="1" x14ac:dyDescent="0.2">
      <c r="A13" s="1057" t="s">
        <v>9</v>
      </c>
      <c r="B13" s="1021"/>
      <c r="C13" s="1021"/>
      <c r="D13" s="1021"/>
      <c r="E13" s="1021"/>
      <c r="F13" s="1010"/>
      <c r="G13" s="1009" t="s">
        <v>10</v>
      </c>
      <c r="H13" s="1021"/>
      <c r="I13" s="1021"/>
      <c r="J13" s="1021"/>
      <c r="K13" s="1021"/>
      <c r="L13" s="1021"/>
      <c r="M13" s="1021"/>
      <c r="N13" s="1021"/>
      <c r="O13" s="1021"/>
      <c r="P13" s="1021"/>
      <c r="Q13" s="1021"/>
      <c r="R13" s="1021"/>
      <c r="S13" s="1021"/>
      <c r="T13" s="1021"/>
      <c r="U13" s="1021"/>
      <c r="V13" s="1021"/>
      <c r="W13" s="1021"/>
      <c r="X13" s="1010"/>
      <c r="Y13" s="1009" t="s">
        <v>11</v>
      </c>
      <c r="Z13" s="1021"/>
      <c r="AA13" s="1039"/>
    </row>
    <row r="14" spans="1:44" ht="18.75" customHeight="1" x14ac:dyDescent="0.2">
      <c r="A14" s="268" t="s">
        <v>14</v>
      </c>
      <c r="B14" s="120"/>
      <c r="C14" s="120"/>
      <c r="D14" s="120"/>
      <c r="E14" s="120"/>
      <c r="F14" s="120"/>
      <c r="G14" s="339" t="s">
        <v>92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054">
        <v>1</v>
      </c>
      <c r="Z14" s="1055"/>
      <c r="AA14" s="1056"/>
    </row>
    <row r="15" spans="1:44" ht="18.75" customHeight="1" x14ac:dyDescent="0.2">
      <c r="A15" s="268" t="s">
        <v>15</v>
      </c>
      <c r="B15" s="120"/>
      <c r="C15" s="120"/>
      <c r="D15" s="120"/>
      <c r="E15" s="120"/>
      <c r="F15" s="120"/>
      <c r="G15" s="339" t="s">
        <v>127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018">
        <f>Y24</f>
        <v>8007200</v>
      </c>
      <c r="Z15" s="1019"/>
      <c r="AA15" s="1020"/>
    </row>
    <row r="16" spans="1:44" ht="18.75" customHeight="1" x14ac:dyDescent="0.2">
      <c r="A16" s="268" t="s">
        <v>16</v>
      </c>
      <c r="B16" s="120"/>
      <c r="C16" s="120"/>
      <c r="D16" s="120"/>
      <c r="E16" s="120"/>
      <c r="F16" s="120"/>
      <c r="G16" s="339" t="s">
        <v>128</v>
      </c>
      <c r="H16" s="18"/>
      <c r="I16" s="18"/>
      <c r="J16" s="18"/>
      <c r="K16" s="18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029" t="s">
        <v>124</v>
      </c>
      <c r="Z16" s="866"/>
      <c r="AA16" s="1030"/>
    </row>
    <row r="17" spans="1:48" ht="18.75" customHeight="1" x14ac:dyDescent="0.2">
      <c r="A17" s="268" t="s">
        <v>17</v>
      </c>
      <c r="B17" s="120"/>
      <c r="C17" s="120"/>
      <c r="D17" s="120"/>
      <c r="E17" s="120"/>
      <c r="F17" s="120"/>
      <c r="G17" s="339" t="s">
        <v>129</v>
      </c>
      <c r="H17" s="18"/>
      <c r="I17" s="18"/>
      <c r="J17" s="18"/>
      <c r="K17" s="18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029" t="s">
        <v>177</v>
      </c>
      <c r="Z17" s="866"/>
      <c r="AA17" s="1030"/>
    </row>
    <row r="18" spans="1:48" ht="18.75" customHeight="1" x14ac:dyDescent="0.2">
      <c r="A18" s="268" t="s">
        <v>12</v>
      </c>
      <c r="B18" s="120"/>
      <c r="C18" s="120"/>
      <c r="D18" s="120"/>
      <c r="E18" s="120"/>
      <c r="F18" s="1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69"/>
    </row>
    <row r="19" spans="1:48" ht="13.5" customHeight="1" x14ac:dyDescent="0.2">
      <c r="A19" s="1031" t="s">
        <v>0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3"/>
      <c r="AM19" s="138"/>
    </row>
    <row r="20" spans="1:48" ht="13.5" customHeight="1" x14ac:dyDescent="0.2">
      <c r="A20" s="1034" t="s">
        <v>1</v>
      </c>
      <c r="B20" s="1035"/>
      <c r="C20" s="1035"/>
      <c r="D20" s="1035"/>
      <c r="E20" s="1035"/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6"/>
      <c r="AK20" s="164"/>
      <c r="AL20" s="164"/>
      <c r="AM20" s="138"/>
    </row>
    <row r="21" spans="1:48" ht="15" customHeight="1" x14ac:dyDescent="0.2">
      <c r="A21" s="1052" t="s">
        <v>2</v>
      </c>
      <c r="B21" s="1053"/>
      <c r="C21" s="1053"/>
      <c r="D21" s="1053"/>
      <c r="E21" s="1053"/>
      <c r="F21" s="1053"/>
      <c r="G21" s="1053"/>
      <c r="H21" s="1053"/>
      <c r="I21" s="1053"/>
      <c r="J21" s="1053"/>
      <c r="K21" s="1013" t="s">
        <v>3</v>
      </c>
      <c r="L21" s="1014"/>
      <c r="M21" s="1014"/>
      <c r="N21" s="1014"/>
      <c r="O21" s="1014"/>
      <c r="P21" s="1014"/>
      <c r="Q21" s="1014"/>
      <c r="R21" s="1009" t="s">
        <v>4</v>
      </c>
      <c r="S21" s="1021"/>
      <c r="T21" s="1021"/>
      <c r="U21" s="1021"/>
      <c r="V21" s="1021"/>
      <c r="W21" s="1021"/>
      <c r="X21" s="1010"/>
      <c r="Y21" s="1013" t="s">
        <v>13</v>
      </c>
      <c r="Z21" s="1014"/>
      <c r="AA21" s="1040"/>
      <c r="AM21" s="138"/>
    </row>
    <row r="22" spans="1:48" ht="16.5" customHeight="1" x14ac:dyDescent="0.2">
      <c r="A22" s="1052"/>
      <c r="B22" s="1053"/>
      <c r="C22" s="1053"/>
      <c r="D22" s="1053"/>
      <c r="E22" s="1053"/>
      <c r="F22" s="1053"/>
      <c r="G22" s="1053"/>
      <c r="H22" s="1053"/>
      <c r="I22" s="1053"/>
      <c r="J22" s="1053"/>
      <c r="K22" s="1015"/>
      <c r="L22" s="1016"/>
      <c r="M22" s="1016"/>
      <c r="N22" s="1016"/>
      <c r="O22" s="1016"/>
      <c r="P22" s="1016"/>
      <c r="Q22" s="1016"/>
      <c r="R22" s="1026" t="s">
        <v>5</v>
      </c>
      <c r="S22" s="1028"/>
      <c r="T22" s="1026" t="s">
        <v>6</v>
      </c>
      <c r="U22" s="1028"/>
      <c r="V22" s="1026" t="s">
        <v>7</v>
      </c>
      <c r="W22" s="1027"/>
      <c r="X22" s="1028"/>
      <c r="Y22" s="1015"/>
      <c r="Z22" s="1016"/>
      <c r="AA22" s="1041"/>
      <c r="AM22" s="138"/>
    </row>
    <row r="23" spans="1:48" ht="18.75" customHeight="1" x14ac:dyDescent="0.2">
      <c r="A23" s="1037">
        <v>1</v>
      </c>
      <c r="B23" s="1038"/>
      <c r="C23" s="1038"/>
      <c r="D23" s="1038"/>
      <c r="E23" s="1038"/>
      <c r="F23" s="1038"/>
      <c r="G23" s="1038"/>
      <c r="H23" s="1038"/>
      <c r="I23" s="1038"/>
      <c r="J23" s="1038"/>
      <c r="K23" s="1009">
        <v>2</v>
      </c>
      <c r="L23" s="1021"/>
      <c r="M23" s="1021"/>
      <c r="N23" s="1021"/>
      <c r="O23" s="1021"/>
      <c r="P23" s="1021"/>
      <c r="Q23" s="1021"/>
      <c r="R23" s="1009">
        <v>3</v>
      </c>
      <c r="S23" s="1010"/>
      <c r="T23" s="1009">
        <v>4</v>
      </c>
      <c r="U23" s="1010"/>
      <c r="V23" s="1009">
        <v>5</v>
      </c>
      <c r="W23" s="1021"/>
      <c r="X23" s="1010"/>
      <c r="Y23" s="1009" t="s">
        <v>27</v>
      </c>
      <c r="Z23" s="1021"/>
      <c r="AA23" s="1039"/>
      <c r="AB23" s="164"/>
      <c r="AC23" s="165"/>
      <c r="AD23" s="1072"/>
      <c r="AE23" s="1005"/>
      <c r="AF23" s="1073"/>
      <c r="AG23" s="1072"/>
      <c r="AH23" s="1073"/>
      <c r="AI23" s="1072"/>
      <c r="AJ23" s="1073"/>
      <c r="AK23" s="1072"/>
      <c r="AL23" s="1073"/>
      <c r="AM23" s="165"/>
      <c r="AN23" s="165"/>
      <c r="AO23" s="165"/>
      <c r="AP23" s="165"/>
      <c r="AQ23" s="165"/>
      <c r="AR23" s="165"/>
      <c r="AS23" s="165"/>
    </row>
    <row r="24" spans="1:48" ht="18" customHeight="1" x14ac:dyDescent="0.2">
      <c r="A24" s="556" t="s">
        <v>323</v>
      </c>
      <c r="B24" s="557" t="s">
        <v>323</v>
      </c>
      <c r="C24" s="557" t="s">
        <v>277</v>
      </c>
      <c r="D24" s="341" t="s">
        <v>44</v>
      </c>
      <c r="E24" s="341" t="s">
        <v>81</v>
      </c>
      <c r="F24" s="342" t="s">
        <v>40</v>
      </c>
      <c r="G24" s="342" t="s">
        <v>41</v>
      </c>
      <c r="H24" s="342" t="s">
        <v>41</v>
      </c>
      <c r="I24" s="342"/>
      <c r="J24" s="342"/>
      <c r="K24" s="207" t="s">
        <v>86</v>
      </c>
      <c r="L24" s="208"/>
      <c r="M24" s="208"/>
      <c r="N24" s="208"/>
      <c r="O24" s="208"/>
      <c r="P24" s="208"/>
      <c r="Q24" s="208"/>
      <c r="R24" s="1003"/>
      <c r="S24" s="1004"/>
      <c r="T24" s="1003"/>
      <c r="U24" s="1004"/>
      <c r="V24" s="1003"/>
      <c r="W24" s="1022"/>
      <c r="X24" s="1004"/>
      <c r="Y24" s="1023">
        <f>Y25</f>
        <v>8007200</v>
      </c>
      <c r="Z24" s="1024"/>
      <c r="AA24" s="1025"/>
      <c r="AB24" s="164"/>
      <c r="AC24" s="165"/>
      <c r="AD24" s="1072"/>
      <c r="AE24" s="1005"/>
      <c r="AF24" s="1073"/>
      <c r="AG24" s="1072"/>
      <c r="AH24" s="1073"/>
      <c r="AI24" s="1072"/>
      <c r="AJ24" s="1073"/>
      <c r="AK24" s="1072"/>
      <c r="AL24" s="1073"/>
      <c r="AM24" s="165"/>
      <c r="AN24" s="165"/>
      <c r="AO24" s="165"/>
      <c r="AP24" s="165"/>
      <c r="AQ24" s="165"/>
      <c r="AR24" s="165"/>
      <c r="AS24" s="165"/>
    </row>
    <row r="25" spans="1:48" ht="18" customHeight="1" x14ac:dyDescent="0.2">
      <c r="A25" s="270" t="s">
        <v>323</v>
      </c>
      <c r="B25" s="23" t="s">
        <v>323</v>
      </c>
      <c r="C25" s="23" t="s">
        <v>277</v>
      </c>
      <c r="D25" s="343" t="s">
        <v>44</v>
      </c>
      <c r="E25" s="343" t="s">
        <v>81</v>
      </c>
      <c r="F25" s="342" t="s">
        <v>40</v>
      </c>
      <c r="G25" s="342" t="s">
        <v>41</v>
      </c>
      <c r="H25" s="342" t="s">
        <v>41</v>
      </c>
      <c r="I25" s="343" t="s">
        <v>44</v>
      </c>
      <c r="J25" s="343"/>
      <c r="K25" s="344" t="s">
        <v>39</v>
      </c>
      <c r="L25" s="345"/>
      <c r="M25" s="345"/>
      <c r="N25" s="345"/>
      <c r="O25" s="345"/>
      <c r="P25" s="345"/>
      <c r="Q25" s="345"/>
      <c r="R25" s="1042"/>
      <c r="S25" s="1043"/>
      <c r="T25" s="1042"/>
      <c r="U25" s="1043"/>
      <c r="V25" s="1042"/>
      <c r="W25" s="1044"/>
      <c r="X25" s="1043"/>
      <c r="Y25" s="1023">
        <f>Y26</f>
        <v>8007200</v>
      </c>
      <c r="Z25" s="1024"/>
      <c r="AA25" s="1025"/>
      <c r="AB25" s="164"/>
      <c r="AC25" s="165"/>
      <c r="AD25" s="1072"/>
      <c r="AE25" s="1005"/>
      <c r="AF25" s="1073"/>
      <c r="AG25" s="1072"/>
      <c r="AH25" s="1073"/>
      <c r="AI25" s="1072"/>
      <c r="AJ25" s="1073"/>
      <c r="AK25" s="1072"/>
      <c r="AL25" s="1073"/>
      <c r="AM25" s="165"/>
      <c r="AN25" s="165"/>
      <c r="AO25" s="165"/>
      <c r="AP25" s="165"/>
      <c r="AQ25" s="165"/>
      <c r="AR25" s="165"/>
      <c r="AS25" s="165"/>
    </row>
    <row r="26" spans="1:48" ht="18" customHeight="1" x14ac:dyDescent="0.2">
      <c r="A26" s="271" t="s">
        <v>323</v>
      </c>
      <c r="B26" s="25" t="s">
        <v>323</v>
      </c>
      <c r="C26" s="25" t="s">
        <v>277</v>
      </c>
      <c r="D26" s="347" t="s">
        <v>44</v>
      </c>
      <c r="E26" s="347" t="s">
        <v>81</v>
      </c>
      <c r="F26" s="347" t="s">
        <v>40</v>
      </c>
      <c r="G26" s="347" t="s">
        <v>41</v>
      </c>
      <c r="H26" s="347" t="s">
        <v>41</v>
      </c>
      <c r="I26" s="347" t="s">
        <v>44</v>
      </c>
      <c r="J26" s="347" t="s">
        <v>44</v>
      </c>
      <c r="K26" s="348" t="s">
        <v>184</v>
      </c>
      <c r="L26" s="159"/>
      <c r="M26" s="159"/>
      <c r="N26" s="159"/>
      <c r="O26" s="159"/>
      <c r="P26" s="159"/>
      <c r="Q26" s="159"/>
      <c r="R26" s="1060"/>
      <c r="S26" s="1061"/>
      <c r="T26" s="1059"/>
      <c r="U26" s="1043"/>
      <c r="V26" s="1059"/>
      <c r="W26" s="1044"/>
      <c r="X26" s="1043"/>
      <c r="Y26" s="832">
        <f>SUM(Y27:AA74)</f>
        <v>8007200</v>
      </c>
      <c r="Z26" s="833"/>
      <c r="AA26" s="966"/>
      <c r="AB26" s="164"/>
      <c r="AC26" s="165"/>
      <c r="AD26" s="677">
        <v>1</v>
      </c>
      <c r="AE26" s="677">
        <v>2</v>
      </c>
      <c r="AF26" s="677">
        <v>3</v>
      </c>
      <c r="AG26" s="677">
        <v>4</v>
      </c>
      <c r="AH26" s="677">
        <v>5</v>
      </c>
      <c r="AI26" s="677">
        <v>6</v>
      </c>
      <c r="AJ26" s="677">
        <v>7</v>
      </c>
      <c r="AK26" s="677">
        <v>8</v>
      </c>
      <c r="AL26" s="677">
        <v>9</v>
      </c>
      <c r="AM26" s="677"/>
      <c r="AN26" s="165"/>
      <c r="AO26" s="165"/>
      <c r="AP26" s="165"/>
      <c r="AQ26" s="165"/>
      <c r="AR26" s="165"/>
      <c r="AS26" s="165"/>
    </row>
    <row r="27" spans="1:48" ht="18" customHeight="1" x14ac:dyDescent="0.3">
      <c r="A27" s="349"/>
      <c r="B27" s="350"/>
      <c r="C27" s="350"/>
      <c r="D27" s="350"/>
      <c r="E27" s="350"/>
      <c r="F27" s="347"/>
      <c r="G27" s="347"/>
      <c r="H27" s="347"/>
      <c r="I27" s="347"/>
      <c r="J27" s="347"/>
      <c r="K27" s="146" t="s">
        <v>199</v>
      </c>
      <c r="L27" s="147"/>
      <c r="M27" s="147"/>
      <c r="N27" s="147"/>
      <c r="O27" s="147"/>
      <c r="P27" s="159"/>
      <c r="Q27" s="147"/>
      <c r="R27" s="983">
        <v>74</v>
      </c>
      <c r="S27" s="984"/>
      <c r="T27" s="983" t="s">
        <v>59</v>
      </c>
      <c r="U27" s="984"/>
      <c r="V27" s="979">
        <v>55000</v>
      </c>
      <c r="W27" s="980"/>
      <c r="X27" s="981"/>
      <c r="Y27" s="832">
        <f>V27*R27</f>
        <v>4070000</v>
      </c>
      <c r="Z27" s="833"/>
      <c r="AA27" s="966"/>
      <c r="AB27" s="164"/>
      <c r="AC27" s="165"/>
      <c r="AD27" s="165">
        <f>V27*5</f>
        <v>275000</v>
      </c>
      <c r="AE27" s="165">
        <f>V27*5</f>
        <v>275000</v>
      </c>
      <c r="AF27" s="165">
        <f>V27*10</f>
        <v>550000</v>
      </c>
      <c r="AG27" s="165">
        <f>V27*10</f>
        <v>550000</v>
      </c>
      <c r="AH27" s="165">
        <f>V27*11</f>
        <v>605000</v>
      </c>
      <c r="AI27" s="165">
        <f>V27*10</f>
        <v>550000</v>
      </c>
      <c r="AJ27" s="165">
        <f>V27*9</f>
        <v>495000</v>
      </c>
      <c r="AK27" s="165">
        <f>V27*9</f>
        <v>495000</v>
      </c>
      <c r="AL27" s="165">
        <f>V27*5</f>
        <v>275000</v>
      </c>
      <c r="AM27" s="165">
        <f>SUM(AD27:AL27)</f>
        <v>4070000</v>
      </c>
      <c r="AN27" s="165"/>
      <c r="AO27" s="674"/>
      <c r="AP27" s="165"/>
      <c r="AQ27" s="165"/>
      <c r="AR27" s="165"/>
      <c r="AS27" s="165"/>
      <c r="AT27" s="1074"/>
      <c r="AU27" s="1075"/>
      <c r="AV27" s="1075"/>
    </row>
    <row r="28" spans="1:48" ht="18" customHeight="1" x14ac:dyDescent="0.3">
      <c r="A28" s="346"/>
      <c r="B28" s="347"/>
      <c r="C28" s="347"/>
      <c r="D28" s="347"/>
      <c r="E28" s="347"/>
      <c r="F28" s="347"/>
      <c r="G28" s="347"/>
      <c r="H28" s="347"/>
      <c r="I28" s="347"/>
      <c r="J28" s="347"/>
      <c r="K28" s="146" t="s">
        <v>389</v>
      </c>
      <c r="L28" s="147"/>
      <c r="M28" s="147"/>
      <c r="N28" s="147"/>
      <c r="O28" s="147"/>
      <c r="P28" s="147"/>
      <c r="Q28" s="147"/>
      <c r="R28" s="983">
        <v>38</v>
      </c>
      <c r="S28" s="984"/>
      <c r="T28" s="983" t="s">
        <v>46</v>
      </c>
      <c r="U28" s="984"/>
      <c r="V28" s="979">
        <v>2500</v>
      </c>
      <c r="W28" s="980"/>
      <c r="X28" s="981"/>
      <c r="Y28" s="832">
        <f t="shared" ref="Y28:Y50" si="0">V28*R28</f>
        <v>95000</v>
      </c>
      <c r="Z28" s="833"/>
      <c r="AA28" s="966"/>
      <c r="AB28" s="164"/>
      <c r="AC28" s="165"/>
      <c r="AD28" s="165">
        <f>V28*5</f>
        <v>12500</v>
      </c>
      <c r="AE28" s="165"/>
      <c r="AF28" s="165"/>
      <c r="AG28" s="165">
        <f>V28*10</f>
        <v>25000</v>
      </c>
      <c r="AH28" s="165">
        <f>V28*5</f>
        <v>12500</v>
      </c>
      <c r="AI28" s="165">
        <f>V28*5</f>
        <v>12500</v>
      </c>
      <c r="AJ28" s="165">
        <f>V28*5</f>
        <v>12500</v>
      </c>
      <c r="AK28" s="165">
        <f>V28*5</f>
        <v>12500</v>
      </c>
      <c r="AL28" s="165">
        <f>V28*3</f>
        <v>7500</v>
      </c>
      <c r="AM28" s="165">
        <f t="shared" ref="AM28:AM74" si="1">SUM(AD28:AL28)</f>
        <v>95000</v>
      </c>
      <c r="AN28" s="165"/>
      <c r="AO28" s="554"/>
      <c r="AP28" s="165"/>
      <c r="AQ28" s="351"/>
      <c r="AR28" s="165"/>
      <c r="AS28" s="165"/>
      <c r="AT28" s="1074"/>
      <c r="AU28" s="1075"/>
      <c r="AV28" s="1075"/>
    </row>
    <row r="29" spans="1:48" ht="18" customHeight="1" x14ac:dyDescent="0.3">
      <c r="A29" s="346"/>
      <c r="B29" s="347"/>
      <c r="C29" s="347"/>
      <c r="D29" s="347"/>
      <c r="E29" s="347"/>
      <c r="F29" s="347"/>
      <c r="G29" s="347"/>
      <c r="H29" s="347"/>
      <c r="I29" s="347"/>
      <c r="J29" s="347"/>
      <c r="K29" s="146" t="s">
        <v>390</v>
      </c>
      <c r="L29" s="147"/>
      <c r="M29" s="147"/>
      <c r="N29" s="147"/>
      <c r="O29" s="147"/>
      <c r="P29" s="147"/>
      <c r="Q29" s="147"/>
      <c r="R29" s="983">
        <v>9</v>
      </c>
      <c r="S29" s="984"/>
      <c r="T29" s="983" t="s">
        <v>200</v>
      </c>
      <c r="U29" s="984"/>
      <c r="V29" s="979">
        <v>13000</v>
      </c>
      <c r="W29" s="980"/>
      <c r="X29" s="981"/>
      <c r="Y29" s="832">
        <f t="shared" si="0"/>
        <v>117000</v>
      </c>
      <c r="Z29" s="833"/>
      <c r="AA29" s="966"/>
      <c r="AB29" s="164"/>
      <c r="AC29" s="165"/>
      <c r="AD29" s="165">
        <f>V29*1</f>
        <v>13000</v>
      </c>
      <c r="AE29" s="165"/>
      <c r="AF29" s="165">
        <v>0</v>
      </c>
      <c r="AG29" s="165">
        <f>V29*2</f>
        <v>26000</v>
      </c>
      <c r="AH29" s="165">
        <v>0</v>
      </c>
      <c r="AI29" s="165">
        <f>V29*3</f>
        <v>39000</v>
      </c>
      <c r="AJ29" s="165">
        <v>0</v>
      </c>
      <c r="AK29" s="165">
        <f>V29*1</f>
        <v>13000</v>
      </c>
      <c r="AL29" s="165">
        <f>V29*2</f>
        <v>26000</v>
      </c>
      <c r="AM29" s="165">
        <f t="shared" si="1"/>
        <v>117000</v>
      </c>
      <c r="AN29" s="165"/>
      <c r="AO29" s="554"/>
      <c r="AP29" s="165"/>
      <c r="AQ29" s="351"/>
      <c r="AR29" s="351"/>
      <c r="AS29" s="165"/>
      <c r="AT29" s="1076"/>
      <c r="AU29" s="1077"/>
      <c r="AV29" s="1077"/>
    </row>
    <row r="30" spans="1:48" ht="18" customHeight="1" x14ac:dyDescent="0.3">
      <c r="A30" s="346"/>
      <c r="B30" s="347"/>
      <c r="C30" s="347"/>
      <c r="D30" s="347"/>
      <c r="E30" s="347"/>
      <c r="F30" s="347"/>
      <c r="G30" s="347"/>
      <c r="H30" s="347"/>
      <c r="I30" s="347"/>
      <c r="J30" s="347"/>
      <c r="K30" s="146" t="s">
        <v>391</v>
      </c>
      <c r="L30" s="147"/>
      <c r="M30" s="147"/>
      <c r="N30" s="147"/>
      <c r="O30" s="147"/>
      <c r="P30" s="147"/>
      <c r="Q30" s="147"/>
      <c r="R30" s="983">
        <v>2</v>
      </c>
      <c r="S30" s="984"/>
      <c r="T30" s="983" t="s">
        <v>281</v>
      </c>
      <c r="U30" s="984"/>
      <c r="V30" s="979">
        <v>45000</v>
      </c>
      <c r="W30" s="980"/>
      <c r="X30" s="981"/>
      <c r="Y30" s="832">
        <f t="shared" si="0"/>
        <v>90000</v>
      </c>
      <c r="Z30" s="833"/>
      <c r="AA30" s="966"/>
      <c r="AB30" s="164"/>
      <c r="AC30" s="165"/>
      <c r="AD30" s="165">
        <f>V30*1</f>
        <v>45000</v>
      </c>
      <c r="AE30" s="165"/>
      <c r="AF30" s="165">
        <v>0</v>
      </c>
      <c r="AG30" s="165">
        <v>0</v>
      </c>
      <c r="AH30" s="165">
        <v>0</v>
      </c>
      <c r="AI30" s="165">
        <f>V30*1</f>
        <v>45000</v>
      </c>
      <c r="AJ30" s="165">
        <v>0</v>
      </c>
      <c r="AK30" s="165">
        <v>0</v>
      </c>
      <c r="AL30" s="165">
        <f t="shared" ref="AL30:AL47" si="2">V30*0</f>
        <v>0</v>
      </c>
      <c r="AM30" s="165">
        <f t="shared" si="1"/>
        <v>90000</v>
      </c>
      <c r="AN30" s="165"/>
      <c r="AO30" s="674"/>
      <c r="AP30" s="165"/>
      <c r="AQ30" s="165"/>
      <c r="AR30" s="165"/>
      <c r="AS30" s="165"/>
      <c r="AT30" s="1072"/>
      <c r="AU30" s="1075"/>
      <c r="AV30" s="1075"/>
    </row>
    <row r="31" spans="1:48" ht="18" customHeight="1" x14ac:dyDescent="0.3">
      <c r="A31" s="346"/>
      <c r="B31" s="347"/>
      <c r="C31" s="347"/>
      <c r="D31" s="347"/>
      <c r="E31" s="347"/>
      <c r="F31" s="347"/>
      <c r="G31" s="347"/>
      <c r="H31" s="347"/>
      <c r="I31" s="347"/>
      <c r="J31" s="347"/>
      <c r="K31" s="146" t="s">
        <v>392</v>
      </c>
      <c r="L31" s="147"/>
      <c r="M31" s="147"/>
      <c r="N31" s="147"/>
      <c r="O31" s="147"/>
      <c r="P31" s="147"/>
      <c r="Q31" s="147"/>
      <c r="R31" s="983">
        <v>1</v>
      </c>
      <c r="S31" s="984"/>
      <c r="T31" s="983" t="s">
        <v>281</v>
      </c>
      <c r="U31" s="984"/>
      <c r="V31" s="979">
        <v>15000</v>
      </c>
      <c r="W31" s="980"/>
      <c r="X31" s="981"/>
      <c r="Y31" s="832">
        <f t="shared" si="0"/>
        <v>15000</v>
      </c>
      <c r="Z31" s="833"/>
      <c r="AA31" s="966"/>
      <c r="AB31" s="164"/>
      <c r="AC31" s="165"/>
      <c r="AD31" s="165">
        <v>0</v>
      </c>
      <c r="AE31" s="165">
        <f>V31*1</f>
        <v>15000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f t="shared" ref="AL31" si="3">V31*0</f>
        <v>0</v>
      </c>
      <c r="AM31" s="165">
        <f t="shared" si="1"/>
        <v>15000</v>
      </c>
      <c r="AN31" s="165"/>
      <c r="AO31" s="674"/>
      <c r="AP31" s="165"/>
      <c r="AQ31" s="165"/>
      <c r="AR31" s="165"/>
      <c r="AS31" s="165"/>
      <c r="AT31" s="658"/>
      <c r="AU31" s="656"/>
      <c r="AV31" s="656"/>
    </row>
    <row r="32" spans="1:48" ht="18" customHeight="1" x14ac:dyDescent="0.3">
      <c r="A32" s="346"/>
      <c r="B32" s="347"/>
      <c r="C32" s="347"/>
      <c r="D32" s="347"/>
      <c r="E32" s="347"/>
      <c r="F32" s="347"/>
      <c r="G32" s="347"/>
      <c r="H32" s="347"/>
      <c r="I32" s="347"/>
      <c r="J32" s="347"/>
      <c r="K32" s="146" t="s">
        <v>393</v>
      </c>
      <c r="L32" s="147"/>
      <c r="M32" s="147"/>
      <c r="N32" s="147"/>
      <c r="O32" s="147"/>
      <c r="P32" s="147"/>
      <c r="Q32" s="147"/>
      <c r="R32" s="983">
        <v>5</v>
      </c>
      <c r="S32" s="984"/>
      <c r="T32" s="983" t="s">
        <v>46</v>
      </c>
      <c r="U32" s="984"/>
      <c r="V32" s="997">
        <v>18000</v>
      </c>
      <c r="W32" s="998"/>
      <c r="X32" s="999"/>
      <c r="Y32" s="832">
        <f t="shared" si="0"/>
        <v>90000</v>
      </c>
      <c r="Z32" s="833"/>
      <c r="AA32" s="966"/>
      <c r="AB32" s="164"/>
      <c r="AC32" s="165"/>
      <c r="AD32" s="165">
        <f>V32*1</f>
        <v>18000</v>
      </c>
      <c r="AE32" s="165"/>
      <c r="AF32" s="165">
        <f>V32*1</f>
        <v>18000</v>
      </c>
      <c r="AG32" s="165">
        <f>V32*1</f>
        <v>18000</v>
      </c>
      <c r="AH32" s="165">
        <v>0</v>
      </c>
      <c r="AI32" s="165"/>
      <c r="AJ32" s="165">
        <f>V32*1</f>
        <v>18000</v>
      </c>
      <c r="AK32" s="165">
        <f>V32*1</f>
        <v>18000</v>
      </c>
      <c r="AL32" s="165">
        <f t="shared" si="2"/>
        <v>0</v>
      </c>
      <c r="AM32" s="165">
        <f t="shared" si="1"/>
        <v>90000</v>
      </c>
      <c r="AN32" s="165"/>
      <c r="AO32" s="674"/>
      <c r="AP32" s="165"/>
      <c r="AQ32" s="165"/>
      <c r="AR32" s="165"/>
      <c r="AS32" s="165"/>
      <c r="AT32" s="1072"/>
      <c r="AU32" s="1075"/>
      <c r="AV32" s="1075"/>
    </row>
    <row r="33" spans="1:46" ht="18" customHeight="1" x14ac:dyDescent="0.3">
      <c r="A33" s="346"/>
      <c r="B33" s="347"/>
      <c r="C33" s="347"/>
      <c r="D33" s="347"/>
      <c r="E33" s="347"/>
      <c r="F33" s="347"/>
      <c r="G33" s="347"/>
      <c r="H33" s="347"/>
      <c r="I33" s="347"/>
      <c r="J33" s="347"/>
      <c r="K33" s="146" t="s">
        <v>201</v>
      </c>
      <c r="L33" s="147"/>
      <c r="M33" s="147"/>
      <c r="N33" s="147"/>
      <c r="O33" s="147"/>
      <c r="P33" s="147"/>
      <c r="Q33" s="147"/>
      <c r="R33" s="983">
        <v>2</v>
      </c>
      <c r="S33" s="984"/>
      <c r="T33" s="983" t="s">
        <v>46</v>
      </c>
      <c r="U33" s="984"/>
      <c r="V33" s="997">
        <v>25000</v>
      </c>
      <c r="W33" s="998"/>
      <c r="X33" s="999"/>
      <c r="Y33" s="832">
        <f t="shared" si="0"/>
        <v>50000</v>
      </c>
      <c r="Z33" s="833"/>
      <c r="AA33" s="966"/>
      <c r="AB33" s="164"/>
      <c r="AC33" s="165"/>
      <c r="AD33" s="165">
        <f>V33*1</f>
        <v>25000</v>
      </c>
      <c r="AE33" s="165"/>
      <c r="AF33" s="165">
        <v>0</v>
      </c>
      <c r="AG33" s="165">
        <f>V33*1</f>
        <v>25000</v>
      </c>
      <c r="AH33" s="165"/>
      <c r="AI33" s="165"/>
      <c r="AJ33" s="165"/>
      <c r="AK33" s="165"/>
      <c r="AL33" s="165">
        <f t="shared" si="2"/>
        <v>0</v>
      </c>
      <c r="AM33" s="165">
        <f t="shared" si="1"/>
        <v>50000</v>
      </c>
      <c r="AN33" s="165"/>
      <c r="AO33" s="351"/>
      <c r="AP33" s="165"/>
      <c r="AQ33" s="165"/>
      <c r="AR33" s="165"/>
      <c r="AS33" s="165"/>
      <c r="AT33" s="656"/>
    </row>
    <row r="34" spans="1:46" ht="18" customHeight="1" x14ac:dyDescent="0.3">
      <c r="A34" s="346"/>
      <c r="B34" s="347"/>
      <c r="C34" s="347"/>
      <c r="D34" s="347"/>
      <c r="E34" s="347"/>
      <c r="F34" s="347"/>
      <c r="G34" s="347"/>
      <c r="H34" s="347"/>
      <c r="I34" s="347"/>
      <c r="J34" s="347"/>
      <c r="K34" s="146" t="s">
        <v>349</v>
      </c>
      <c r="L34" s="147"/>
      <c r="M34" s="147"/>
      <c r="N34" s="147"/>
      <c r="O34" s="147"/>
      <c r="P34" s="147"/>
      <c r="Q34" s="147"/>
      <c r="R34" s="983">
        <v>5</v>
      </c>
      <c r="S34" s="984"/>
      <c r="T34" s="983" t="s">
        <v>46</v>
      </c>
      <c r="U34" s="984"/>
      <c r="V34" s="997">
        <v>6500</v>
      </c>
      <c r="W34" s="998"/>
      <c r="X34" s="999"/>
      <c r="Y34" s="832">
        <f t="shared" si="0"/>
        <v>32500</v>
      </c>
      <c r="Z34" s="833"/>
      <c r="AA34" s="966"/>
      <c r="AB34" s="164"/>
      <c r="AC34" s="165"/>
      <c r="AD34" s="165">
        <f>V34*2</f>
        <v>13000</v>
      </c>
      <c r="AE34" s="165"/>
      <c r="AF34" s="165">
        <f>V34*1</f>
        <v>6500</v>
      </c>
      <c r="AG34" s="165">
        <f>V34*2</f>
        <v>13000</v>
      </c>
      <c r="AH34" s="165">
        <v>0</v>
      </c>
      <c r="AI34" s="165">
        <v>0</v>
      </c>
      <c r="AJ34" s="165">
        <v>0</v>
      </c>
      <c r="AK34" s="165">
        <v>0</v>
      </c>
      <c r="AL34" s="165">
        <f t="shared" si="2"/>
        <v>0</v>
      </c>
      <c r="AM34" s="165">
        <f t="shared" si="1"/>
        <v>32500</v>
      </c>
      <c r="AN34" s="165"/>
      <c r="AO34" s="554"/>
      <c r="AP34" s="165"/>
      <c r="AQ34" s="351"/>
      <c r="AR34" s="351"/>
      <c r="AS34" s="165"/>
      <c r="AT34" s="656"/>
    </row>
    <row r="35" spans="1:46" ht="18" customHeight="1" x14ac:dyDescent="0.3">
      <c r="A35" s="346"/>
      <c r="B35" s="347"/>
      <c r="C35" s="347"/>
      <c r="D35" s="347"/>
      <c r="E35" s="347"/>
      <c r="F35" s="347"/>
      <c r="G35" s="347"/>
      <c r="H35" s="347"/>
      <c r="I35" s="347"/>
      <c r="J35" s="347"/>
      <c r="K35" s="146" t="s">
        <v>394</v>
      </c>
      <c r="L35" s="147"/>
      <c r="M35" s="147"/>
      <c r="N35" s="147"/>
      <c r="O35" s="147"/>
      <c r="P35" s="147"/>
      <c r="Q35" s="147"/>
      <c r="R35" s="983">
        <v>5</v>
      </c>
      <c r="S35" s="984"/>
      <c r="T35" s="983" t="s">
        <v>46</v>
      </c>
      <c r="U35" s="984"/>
      <c r="V35" s="997">
        <v>6500</v>
      </c>
      <c r="W35" s="998"/>
      <c r="X35" s="999"/>
      <c r="Y35" s="832">
        <f>V35*R35</f>
        <v>32500</v>
      </c>
      <c r="Z35" s="833"/>
      <c r="AA35" s="966"/>
      <c r="AB35" s="164"/>
      <c r="AC35" s="165"/>
      <c r="AD35" s="165">
        <f>V35*2</f>
        <v>13000</v>
      </c>
      <c r="AE35" s="165"/>
      <c r="AF35" s="165">
        <v>0</v>
      </c>
      <c r="AG35" s="165">
        <f>V35*2</f>
        <v>13000</v>
      </c>
      <c r="AH35" s="165">
        <v>0</v>
      </c>
      <c r="AI35" s="165">
        <v>0</v>
      </c>
      <c r="AJ35" s="165">
        <v>0</v>
      </c>
      <c r="AK35" s="165">
        <v>0</v>
      </c>
      <c r="AL35" s="165">
        <f>V35*1</f>
        <v>6500</v>
      </c>
      <c r="AM35" s="165">
        <f t="shared" si="1"/>
        <v>32500</v>
      </c>
      <c r="AN35" s="165"/>
      <c r="AO35" s="165"/>
      <c r="AP35" s="165"/>
      <c r="AQ35" s="351"/>
      <c r="AR35" s="165"/>
      <c r="AS35" s="165"/>
      <c r="AT35" s="656"/>
    </row>
    <row r="36" spans="1:46" ht="18" customHeight="1" x14ac:dyDescent="0.3">
      <c r="A36" s="346"/>
      <c r="B36" s="347"/>
      <c r="C36" s="347"/>
      <c r="D36" s="347"/>
      <c r="E36" s="347"/>
      <c r="F36" s="347"/>
      <c r="G36" s="347"/>
      <c r="H36" s="347"/>
      <c r="I36" s="347"/>
      <c r="J36" s="347"/>
      <c r="K36" s="146" t="s">
        <v>395</v>
      </c>
      <c r="L36" s="147"/>
      <c r="M36" s="147"/>
      <c r="N36" s="147"/>
      <c r="O36" s="147"/>
      <c r="P36" s="147"/>
      <c r="Q36" s="147"/>
      <c r="R36" s="983">
        <v>15</v>
      </c>
      <c r="S36" s="984"/>
      <c r="T36" s="983" t="s">
        <v>281</v>
      </c>
      <c r="U36" s="984"/>
      <c r="V36" s="997">
        <v>8000</v>
      </c>
      <c r="W36" s="998"/>
      <c r="X36" s="999"/>
      <c r="Y36" s="832">
        <f t="shared" si="0"/>
        <v>120000</v>
      </c>
      <c r="Z36" s="833"/>
      <c r="AA36" s="966"/>
      <c r="AB36" s="164"/>
      <c r="AC36" s="165"/>
      <c r="AD36" s="165">
        <f>V36*2</f>
        <v>16000</v>
      </c>
      <c r="AE36" s="165"/>
      <c r="AF36" s="165">
        <f>V36*1</f>
        <v>8000</v>
      </c>
      <c r="AG36" s="165">
        <f>V36*2</f>
        <v>16000</v>
      </c>
      <c r="AH36" s="165">
        <f>V36*2</f>
        <v>16000</v>
      </c>
      <c r="AI36" s="165">
        <f>V36*2</f>
        <v>16000</v>
      </c>
      <c r="AJ36" s="165">
        <f>V36*2</f>
        <v>16000</v>
      </c>
      <c r="AK36" s="165">
        <f>V36*2</f>
        <v>16000</v>
      </c>
      <c r="AL36" s="165">
        <f>V36*2</f>
        <v>16000</v>
      </c>
      <c r="AM36" s="165">
        <f t="shared" si="1"/>
        <v>120000</v>
      </c>
      <c r="AN36" s="165"/>
      <c r="AO36" s="165"/>
      <c r="AP36" s="165"/>
      <c r="AQ36" s="165"/>
      <c r="AR36" s="165"/>
      <c r="AS36" s="165"/>
      <c r="AT36" s="656"/>
    </row>
    <row r="37" spans="1:46" ht="18" customHeight="1" x14ac:dyDescent="0.3">
      <c r="A37" s="346"/>
      <c r="B37" s="347"/>
      <c r="C37" s="347"/>
      <c r="D37" s="347"/>
      <c r="E37" s="347"/>
      <c r="F37" s="347"/>
      <c r="G37" s="347"/>
      <c r="H37" s="347"/>
      <c r="I37" s="347"/>
      <c r="J37" s="347"/>
      <c r="K37" s="146" t="s">
        <v>396</v>
      </c>
      <c r="L37" s="147"/>
      <c r="M37" s="147"/>
      <c r="N37" s="147"/>
      <c r="O37" s="147"/>
      <c r="P37" s="147"/>
      <c r="Q37" s="147"/>
      <c r="R37" s="983">
        <v>60</v>
      </c>
      <c r="S37" s="984"/>
      <c r="T37" s="983" t="s">
        <v>46</v>
      </c>
      <c r="U37" s="984"/>
      <c r="V37" s="997">
        <v>2500</v>
      </c>
      <c r="W37" s="998"/>
      <c r="X37" s="999"/>
      <c r="Y37" s="832">
        <f t="shared" si="0"/>
        <v>150000</v>
      </c>
      <c r="Z37" s="833"/>
      <c r="AA37" s="966"/>
      <c r="AB37" s="164"/>
      <c r="AC37" s="165"/>
      <c r="AD37" s="165">
        <f>V37*6</f>
        <v>15000</v>
      </c>
      <c r="AE37" s="165"/>
      <c r="AF37" s="165">
        <f>V37*5</f>
        <v>12500</v>
      </c>
      <c r="AG37" s="165">
        <f>V37*9</f>
        <v>22500</v>
      </c>
      <c r="AH37" s="165">
        <f t="shared" ref="AH37" si="4">V37*10</f>
        <v>25000</v>
      </c>
      <c r="AI37" s="165">
        <f>V37*5</f>
        <v>12500</v>
      </c>
      <c r="AJ37" s="165">
        <f t="shared" ref="AJ37" si="5">V37*10</f>
        <v>25000</v>
      </c>
      <c r="AK37" s="165">
        <f>V37*5</f>
        <v>12500</v>
      </c>
      <c r="AL37" s="165">
        <f>V37*10</f>
        <v>25000</v>
      </c>
      <c r="AM37" s="165">
        <f t="shared" si="1"/>
        <v>150000</v>
      </c>
      <c r="AN37" s="165"/>
      <c r="AO37" s="554"/>
      <c r="AP37" s="165"/>
      <c r="AQ37" s="351"/>
      <c r="AR37" s="351"/>
      <c r="AS37" s="165"/>
      <c r="AT37" s="656"/>
    </row>
    <row r="38" spans="1:46" ht="18" customHeight="1" x14ac:dyDescent="0.3">
      <c r="A38" s="346"/>
      <c r="B38" s="347"/>
      <c r="C38" s="347"/>
      <c r="D38" s="347"/>
      <c r="E38" s="347"/>
      <c r="F38" s="347"/>
      <c r="G38" s="347"/>
      <c r="H38" s="347"/>
      <c r="I38" s="347"/>
      <c r="J38" s="347"/>
      <c r="K38" s="146" t="s">
        <v>348</v>
      </c>
      <c r="L38" s="147"/>
      <c r="M38" s="147"/>
      <c r="N38" s="147"/>
      <c r="O38" s="147"/>
      <c r="P38" s="147"/>
      <c r="Q38" s="147"/>
      <c r="R38" s="983">
        <v>15</v>
      </c>
      <c r="S38" s="984"/>
      <c r="T38" s="983" t="s">
        <v>46</v>
      </c>
      <c r="U38" s="984"/>
      <c r="V38" s="997">
        <v>4500</v>
      </c>
      <c r="W38" s="998"/>
      <c r="X38" s="999"/>
      <c r="Y38" s="832">
        <f t="shared" si="0"/>
        <v>67500</v>
      </c>
      <c r="Z38" s="833"/>
      <c r="AA38" s="966"/>
      <c r="AB38" s="164"/>
      <c r="AC38" s="165"/>
      <c r="AD38" s="165">
        <f>V38*2</f>
        <v>9000</v>
      </c>
      <c r="AE38" s="165"/>
      <c r="AF38" s="165">
        <v>0</v>
      </c>
      <c r="AG38" s="165">
        <f>V38*2</f>
        <v>9000</v>
      </c>
      <c r="AH38" s="165">
        <f>V38*3</f>
        <v>13500</v>
      </c>
      <c r="AI38" s="165">
        <v>0</v>
      </c>
      <c r="AJ38" s="165">
        <f>V38*3</f>
        <v>13500</v>
      </c>
      <c r="AK38" s="165">
        <f>V38*3</f>
        <v>13500</v>
      </c>
      <c r="AL38" s="165">
        <f>V38*2</f>
        <v>9000</v>
      </c>
      <c r="AM38" s="165">
        <f t="shared" si="1"/>
        <v>67500</v>
      </c>
      <c r="AN38" s="165"/>
      <c r="AO38" s="351"/>
      <c r="AP38" s="165"/>
      <c r="AQ38" s="351"/>
      <c r="AR38" s="351"/>
      <c r="AS38" s="165"/>
      <c r="AT38" s="525"/>
    </row>
    <row r="39" spans="1:46" ht="18" customHeight="1" x14ac:dyDescent="0.3">
      <c r="A39" s="346"/>
      <c r="B39" s="347"/>
      <c r="C39" s="347"/>
      <c r="D39" s="347"/>
      <c r="E39" s="347"/>
      <c r="F39" s="347"/>
      <c r="G39" s="347"/>
      <c r="H39" s="347"/>
      <c r="I39" s="347"/>
      <c r="J39" s="347"/>
      <c r="K39" s="146" t="s">
        <v>397</v>
      </c>
      <c r="L39" s="147"/>
      <c r="M39" s="147"/>
      <c r="N39" s="147"/>
      <c r="O39" s="147"/>
      <c r="P39" s="147"/>
      <c r="Q39" s="147"/>
      <c r="R39" s="983">
        <v>5</v>
      </c>
      <c r="S39" s="984"/>
      <c r="T39" s="983" t="s">
        <v>398</v>
      </c>
      <c r="U39" s="984"/>
      <c r="V39" s="997">
        <v>9500</v>
      </c>
      <c r="W39" s="998"/>
      <c r="X39" s="999"/>
      <c r="Y39" s="832">
        <f t="shared" si="0"/>
        <v>47500</v>
      </c>
      <c r="Z39" s="833"/>
      <c r="AA39" s="966"/>
      <c r="AB39" s="164"/>
      <c r="AC39" s="165"/>
      <c r="AD39" s="165">
        <f>V39*1</f>
        <v>9500</v>
      </c>
      <c r="AE39" s="165"/>
      <c r="AF39" s="165">
        <v>0</v>
      </c>
      <c r="AG39" s="165">
        <f>V39*1</f>
        <v>9500</v>
      </c>
      <c r="AH39" s="165">
        <f>V39*1</f>
        <v>9500</v>
      </c>
      <c r="AI39" s="165">
        <v>0</v>
      </c>
      <c r="AJ39" s="165">
        <f>V39*1</f>
        <v>9500</v>
      </c>
      <c r="AK39" s="165">
        <v>0</v>
      </c>
      <c r="AL39" s="165">
        <f>V39*1</f>
        <v>9500</v>
      </c>
      <c r="AM39" s="165">
        <f t="shared" si="1"/>
        <v>47500</v>
      </c>
      <c r="AN39" s="165"/>
      <c r="AO39" s="351"/>
      <c r="AP39" s="165"/>
      <c r="AQ39" s="351"/>
      <c r="AR39" s="351"/>
      <c r="AS39" s="165"/>
      <c r="AT39" s="525"/>
    </row>
    <row r="40" spans="1:46" ht="18" customHeight="1" x14ac:dyDescent="0.3">
      <c r="A40" s="346"/>
      <c r="B40" s="347"/>
      <c r="C40" s="347"/>
      <c r="D40" s="347"/>
      <c r="E40" s="347"/>
      <c r="F40" s="347"/>
      <c r="G40" s="347"/>
      <c r="H40" s="347"/>
      <c r="I40" s="347"/>
      <c r="J40" s="347"/>
      <c r="K40" s="146" t="s">
        <v>399</v>
      </c>
      <c r="L40" s="147"/>
      <c r="M40" s="147"/>
      <c r="N40" s="147"/>
      <c r="O40" s="147"/>
      <c r="P40" s="147"/>
      <c r="Q40" s="147"/>
      <c r="R40" s="983">
        <v>10</v>
      </c>
      <c r="S40" s="984"/>
      <c r="T40" s="983" t="s">
        <v>168</v>
      </c>
      <c r="U40" s="984"/>
      <c r="V40" s="979">
        <v>6000</v>
      </c>
      <c r="W40" s="980"/>
      <c r="X40" s="981"/>
      <c r="Y40" s="832">
        <f t="shared" si="0"/>
        <v>60000</v>
      </c>
      <c r="Z40" s="833"/>
      <c r="AA40" s="966"/>
      <c r="AB40" s="164"/>
      <c r="AC40" s="165"/>
      <c r="AD40" s="165">
        <f>V40*3</f>
        <v>18000</v>
      </c>
      <c r="AE40" s="165"/>
      <c r="AF40" s="165">
        <v>0</v>
      </c>
      <c r="AG40" s="165">
        <v>0</v>
      </c>
      <c r="AH40" s="165">
        <f>V40*1</f>
        <v>6000</v>
      </c>
      <c r="AI40" s="165">
        <f>V40*2</f>
        <v>12000</v>
      </c>
      <c r="AJ40" s="165">
        <v>0</v>
      </c>
      <c r="AK40" s="165">
        <f>V40*2</f>
        <v>12000</v>
      </c>
      <c r="AL40" s="165">
        <f>V40*2</f>
        <v>12000</v>
      </c>
      <c r="AM40" s="165">
        <f t="shared" si="1"/>
        <v>60000</v>
      </c>
      <c r="AN40" s="165"/>
      <c r="AO40" s="351"/>
      <c r="AP40" s="165"/>
      <c r="AQ40" s="351"/>
      <c r="AR40" s="351"/>
      <c r="AS40" s="165"/>
      <c r="AT40" s="525"/>
    </row>
    <row r="41" spans="1:46" ht="18" customHeight="1" x14ac:dyDescent="0.3">
      <c r="A41" s="346"/>
      <c r="B41" s="347"/>
      <c r="C41" s="347"/>
      <c r="D41" s="347"/>
      <c r="E41" s="347"/>
      <c r="F41" s="347"/>
      <c r="G41" s="347"/>
      <c r="H41" s="347"/>
      <c r="I41" s="347"/>
      <c r="J41" s="347"/>
      <c r="K41" s="146" t="s">
        <v>308</v>
      </c>
      <c r="L41" s="147"/>
      <c r="M41" s="147"/>
      <c r="N41" s="147"/>
      <c r="O41" s="147"/>
      <c r="P41" s="147"/>
      <c r="Q41" s="147"/>
      <c r="R41" s="983">
        <v>5</v>
      </c>
      <c r="S41" s="984"/>
      <c r="T41" s="983" t="s">
        <v>46</v>
      </c>
      <c r="U41" s="984"/>
      <c r="V41" s="997">
        <v>2000</v>
      </c>
      <c r="W41" s="998"/>
      <c r="X41" s="999"/>
      <c r="Y41" s="832">
        <f t="shared" si="0"/>
        <v>10000</v>
      </c>
      <c r="Z41" s="833"/>
      <c r="AA41" s="966"/>
      <c r="AB41" s="352"/>
      <c r="AC41" s="165"/>
      <c r="AD41" s="165">
        <v>0</v>
      </c>
      <c r="AE41" s="165"/>
      <c r="AF41" s="165">
        <f>V41*5</f>
        <v>10000</v>
      </c>
      <c r="AG41" s="165">
        <v>0</v>
      </c>
      <c r="AH41" s="165">
        <v>0</v>
      </c>
      <c r="AI41" s="165">
        <v>0</v>
      </c>
      <c r="AJ41" s="165">
        <v>0</v>
      </c>
      <c r="AK41" s="165">
        <v>0</v>
      </c>
      <c r="AL41" s="165">
        <f t="shared" si="2"/>
        <v>0</v>
      </c>
      <c r="AM41" s="165">
        <f t="shared" si="1"/>
        <v>10000</v>
      </c>
      <c r="AN41" s="165"/>
      <c r="AO41" s="351"/>
      <c r="AP41" s="165"/>
      <c r="AQ41" s="165"/>
      <c r="AR41" s="363"/>
      <c r="AS41" s="165"/>
      <c r="AT41" s="655"/>
    </row>
    <row r="42" spans="1:46" ht="18" customHeight="1" x14ac:dyDescent="0.3">
      <c r="A42" s="346"/>
      <c r="B42" s="347"/>
      <c r="C42" s="347"/>
      <c r="D42" s="347"/>
      <c r="E42" s="347"/>
      <c r="F42" s="347"/>
      <c r="G42" s="347"/>
      <c r="H42" s="347"/>
      <c r="I42" s="347"/>
      <c r="J42" s="347"/>
      <c r="K42" s="146" t="s">
        <v>400</v>
      </c>
      <c r="L42" s="147"/>
      <c r="M42" s="147"/>
      <c r="N42" s="147"/>
      <c r="O42" s="147"/>
      <c r="P42" s="147"/>
      <c r="Q42" s="147"/>
      <c r="R42" s="983">
        <v>10</v>
      </c>
      <c r="S42" s="984"/>
      <c r="T42" s="983" t="s">
        <v>46</v>
      </c>
      <c r="U42" s="984"/>
      <c r="V42" s="997">
        <v>40000</v>
      </c>
      <c r="W42" s="998"/>
      <c r="X42" s="999"/>
      <c r="Y42" s="832">
        <f t="shared" si="0"/>
        <v>400000</v>
      </c>
      <c r="Z42" s="833"/>
      <c r="AA42" s="966"/>
      <c r="AB42" s="164"/>
      <c r="AC42" s="165"/>
      <c r="AD42" s="165">
        <f>V42*1</f>
        <v>40000</v>
      </c>
      <c r="AE42" s="165">
        <f>V42*1</f>
        <v>40000</v>
      </c>
      <c r="AF42" s="165">
        <v>0</v>
      </c>
      <c r="AG42" s="165">
        <f>V42*2</f>
        <v>80000</v>
      </c>
      <c r="AH42" s="165">
        <v>0</v>
      </c>
      <c r="AI42" s="165">
        <f>V42*2</f>
        <v>80000</v>
      </c>
      <c r="AJ42" s="165">
        <f>V42*1</f>
        <v>40000</v>
      </c>
      <c r="AK42" s="165">
        <f>V42*1</f>
        <v>40000</v>
      </c>
      <c r="AL42" s="165">
        <f>V42*2</f>
        <v>80000</v>
      </c>
      <c r="AM42" s="165">
        <f>SUM(AD42:AL42)</f>
        <v>400000</v>
      </c>
      <c r="AN42" s="165"/>
      <c r="AO42" s="351"/>
      <c r="AP42" s="165"/>
      <c r="AQ42" s="351"/>
      <c r="AR42" s="351"/>
      <c r="AS42" s="165"/>
      <c r="AT42" s="526"/>
    </row>
    <row r="43" spans="1:46" ht="18" customHeight="1" x14ac:dyDescent="0.3">
      <c r="A43" s="346"/>
      <c r="B43" s="347"/>
      <c r="C43" s="347"/>
      <c r="D43" s="347"/>
      <c r="E43" s="347"/>
      <c r="F43" s="347"/>
      <c r="G43" s="347"/>
      <c r="H43" s="347"/>
      <c r="I43" s="347"/>
      <c r="J43" s="347"/>
      <c r="K43" s="146" t="s">
        <v>299</v>
      </c>
      <c r="L43" s="147"/>
      <c r="M43" s="147"/>
      <c r="N43" s="147"/>
      <c r="O43" s="147"/>
      <c r="P43" s="147"/>
      <c r="Q43" s="147"/>
      <c r="R43" s="983">
        <v>4</v>
      </c>
      <c r="S43" s="984"/>
      <c r="T43" s="983" t="s">
        <v>46</v>
      </c>
      <c r="U43" s="984"/>
      <c r="V43" s="997">
        <v>18000</v>
      </c>
      <c r="W43" s="998"/>
      <c r="X43" s="999"/>
      <c r="Y43" s="832">
        <f t="shared" si="0"/>
        <v>72000</v>
      </c>
      <c r="Z43" s="833"/>
      <c r="AA43" s="966"/>
      <c r="AB43" s="164">
        <f>SUM(AC27:AC42)</f>
        <v>0</v>
      </c>
      <c r="AC43" s="165"/>
      <c r="AD43" s="165">
        <f>V43*2</f>
        <v>36000</v>
      </c>
      <c r="AE43" s="165"/>
      <c r="AF43" s="165">
        <v>0</v>
      </c>
      <c r="AG43" s="165">
        <v>0</v>
      </c>
      <c r="AH43" s="165">
        <f>V43*1</f>
        <v>18000</v>
      </c>
      <c r="AI43" s="165">
        <v>0</v>
      </c>
      <c r="AJ43" s="165">
        <f>V43*1</f>
        <v>18000</v>
      </c>
      <c r="AK43" s="165">
        <v>0</v>
      </c>
      <c r="AL43" s="165">
        <f t="shared" si="2"/>
        <v>0</v>
      </c>
      <c r="AM43" s="165">
        <f t="shared" si="1"/>
        <v>72000</v>
      </c>
      <c r="AN43" s="165"/>
      <c r="AO43" s="165"/>
      <c r="AP43" s="165"/>
      <c r="AQ43" s="165"/>
      <c r="AR43" s="165"/>
      <c r="AS43" s="165"/>
      <c r="AT43" s="656"/>
    </row>
    <row r="44" spans="1:46" ht="18" customHeight="1" x14ac:dyDescent="0.3">
      <c r="A44" s="346"/>
      <c r="B44" s="347"/>
      <c r="C44" s="347"/>
      <c r="D44" s="347"/>
      <c r="E44" s="347"/>
      <c r="F44" s="347"/>
      <c r="G44" s="347"/>
      <c r="H44" s="347"/>
      <c r="I44" s="347"/>
      <c r="J44" s="347"/>
      <c r="K44" s="146" t="s">
        <v>401</v>
      </c>
      <c r="L44" s="147"/>
      <c r="M44" s="147"/>
      <c r="N44" s="147"/>
      <c r="O44" s="147"/>
      <c r="P44" s="147"/>
      <c r="Q44" s="147"/>
      <c r="R44" s="983">
        <v>3</v>
      </c>
      <c r="S44" s="984"/>
      <c r="T44" s="983" t="s">
        <v>46</v>
      </c>
      <c r="U44" s="984"/>
      <c r="V44" s="997">
        <v>32000</v>
      </c>
      <c r="W44" s="998"/>
      <c r="X44" s="999"/>
      <c r="Y44" s="832">
        <f t="shared" si="0"/>
        <v>96000</v>
      </c>
      <c r="Z44" s="833"/>
      <c r="AA44" s="966"/>
      <c r="AB44" s="164"/>
      <c r="AC44" s="165"/>
      <c r="AD44" s="165">
        <f>V44*1</f>
        <v>32000</v>
      </c>
      <c r="AE44" s="165"/>
      <c r="AF44" s="165">
        <v>0</v>
      </c>
      <c r="AG44" s="165">
        <v>0</v>
      </c>
      <c r="AH44" s="165">
        <v>0</v>
      </c>
      <c r="AI44" s="165">
        <f>V44*1</f>
        <v>32000</v>
      </c>
      <c r="AJ44" s="165">
        <v>0</v>
      </c>
      <c r="AK44" s="165">
        <f>V44*1</f>
        <v>32000</v>
      </c>
      <c r="AL44" s="165">
        <f t="shared" si="2"/>
        <v>0</v>
      </c>
      <c r="AM44" s="165">
        <f t="shared" si="1"/>
        <v>96000</v>
      </c>
      <c r="AN44" s="165"/>
      <c r="AO44" s="165"/>
      <c r="AP44" s="165"/>
      <c r="AQ44" s="165"/>
      <c r="AR44" s="165"/>
      <c r="AS44" s="165"/>
      <c r="AT44" s="656"/>
    </row>
    <row r="45" spans="1:46" ht="18" customHeight="1" x14ac:dyDescent="0.3">
      <c r="A45" s="346"/>
      <c r="B45" s="347"/>
      <c r="C45" s="347"/>
      <c r="D45" s="347"/>
      <c r="E45" s="347"/>
      <c r="F45" s="347"/>
      <c r="G45" s="347"/>
      <c r="H45" s="347"/>
      <c r="I45" s="347"/>
      <c r="J45" s="347"/>
      <c r="K45" s="146" t="s">
        <v>296</v>
      </c>
      <c r="L45" s="147"/>
      <c r="M45" s="147"/>
      <c r="N45" s="147"/>
      <c r="O45" s="147"/>
      <c r="P45" s="147"/>
      <c r="Q45" s="147"/>
      <c r="R45" s="983">
        <v>10</v>
      </c>
      <c r="S45" s="984"/>
      <c r="T45" s="983" t="s">
        <v>282</v>
      </c>
      <c r="U45" s="984"/>
      <c r="V45" s="997">
        <v>4000</v>
      </c>
      <c r="W45" s="998"/>
      <c r="X45" s="999"/>
      <c r="Y45" s="832">
        <f t="shared" si="0"/>
        <v>40000</v>
      </c>
      <c r="Z45" s="833"/>
      <c r="AA45" s="966"/>
      <c r="AB45" s="164">
        <f>SUM(AC43:AC73)</f>
        <v>0</v>
      </c>
      <c r="AC45" s="165"/>
      <c r="AD45" s="165">
        <f>V45*2</f>
        <v>8000</v>
      </c>
      <c r="AE45" s="165"/>
      <c r="AF45" s="165">
        <f>V45*1</f>
        <v>4000</v>
      </c>
      <c r="AG45" s="165">
        <f>V45*2</f>
        <v>8000</v>
      </c>
      <c r="AH45" s="165">
        <v>0</v>
      </c>
      <c r="AI45" s="165">
        <f>V45*2</f>
        <v>8000</v>
      </c>
      <c r="AJ45" s="165">
        <v>0</v>
      </c>
      <c r="AK45" s="165">
        <v>0</v>
      </c>
      <c r="AL45" s="165">
        <f>V45*3</f>
        <v>12000</v>
      </c>
      <c r="AM45" s="165">
        <f t="shared" si="1"/>
        <v>40000</v>
      </c>
      <c r="AN45" s="165"/>
      <c r="AO45" s="351"/>
      <c r="AP45" s="165"/>
      <c r="AQ45" s="351"/>
      <c r="AR45" s="165"/>
      <c r="AS45" s="165"/>
      <c r="AT45" s="655"/>
    </row>
    <row r="46" spans="1:46" ht="18" customHeight="1" x14ac:dyDescent="0.3">
      <c r="A46" s="346"/>
      <c r="B46" s="347"/>
      <c r="C46" s="347"/>
      <c r="D46" s="347"/>
      <c r="E46" s="347"/>
      <c r="F46" s="347"/>
      <c r="G46" s="347"/>
      <c r="H46" s="347"/>
      <c r="I46" s="347"/>
      <c r="J46" s="347"/>
      <c r="K46" s="146" t="s">
        <v>297</v>
      </c>
      <c r="L46" s="147"/>
      <c r="M46" s="147"/>
      <c r="N46" s="147"/>
      <c r="O46" s="147"/>
      <c r="P46" s="147"/>
      <c r="Q46" s="147"/>
      <c r="R46" s="983">
        <v>15</v>
      </c>
      <c r="S46" s="984"/>
      <c r="T46" s="983" t="s">
        <v>282</v>
      </c>
      <c r="U46" s="984"/>
      <c r="V46" s="997">
        <v>1700</v>
      </c>
      <c r="W46" s="998"/>
      <c r="X46" s="999"/>
      <c r="Y46" s="832">
        <f t="shared" si="0"/>
        <v>25500</v>
      </c>
      <c r="Z46" s="833"/>
      <c r="AA46" s="966"/>
      <c r="AB46" s="164">
        <f>SUM(AB43:AB45)</f>
        <v>0</v>
      </c>
      <c r="AC46" s="165"/>
      <c r="AD46" s="165">
        <f>V46*3</f>
        <v>5100</v>
      </c>
      <c r="AE46" s="165"/>
      <c r="AF46" s="165">
        <f>V46*2</f>
        <v>3400</v>
      </c>
      <c r="AG46" s="165">
        <f>V46*2</f>
        <v>3400</v>
      </c>
      <c r="AH46" s="165">
        <f>V46*2</f>
        <v>3400</v>
      </c>
      <c r="AI46" s="165">
        <f>V46*2</f>
        <v>3400</v>
      </c>
      <c r="AJ46" s="165">
        <f>V46*2</f>
        <v>3400</v>
      </c>
      <c r="AK46" s="165">
        <f>V46*2</f>
        <v>3400</v>
      </c>
      <c r="AL46" s="165">
        <f t="shared" si="2"/>
        <v>0</v>
      </c>
      <c r="AM46" s="165">
        <f t="shared" si="1"/>
        <v>25500</v>
      </c>
      <c r="AN46" s="165"/>
      <c r="AO46" s="351"/>
      <c r="AP46" s="165"/>
      <c r="AQ46" s="351"/>
      <c r="AR46" s="351"/>
      <c r="AS46" s="165"/>
      <c r="AT46" s="656"/>
    </row>
    <row r="47" spans="1:46" ht="18" customHeight="1" x14ac:dyDescent="0.3">
      <c r="A47" s="346"/>
      <c r="B47" s="347"/>
      <c r="C47" s="347"/>
      <c r="D47" s="347"/>
      <c r="E47" s="347"/>
      <c r="F47" s="347"/>
      <c r="G47" s="347"/>
      <c r="H47" s="347"/>
      <c r="I47" s="347"/>
      <c r="J47" s="347"/>
      <c r="K47" s="146" t="s">
        <v>298</v>
      </c>
      <c r="L47" s="147"/>
      <c r="M47" s="147"/>
      <c r="N47" s="147"/>
      <c r="O47" s="147"/>
      <c r="P47" s="147"/>
      <c r="Q47" s="147"/>
      <c r="R47" s="983">
        <v>2</v>
      </c>
      <c r="S47" s="984"/>
      <c r="T47" s="983" t="s">
        <v>281</v>
      </c>
      <c r="U47" s="984"/>
      <c r="V47" s="979">
        <v>8000</v>
      </c>
      <c r="W47" s="980"/>
      <c r="X47" s="981"/>
      <c r="Y47" s="832">
        <f t="shared" si="0"/>
        <v>16000</v>
      </c>
      <c r="Z47" s="833"/>
      <c r="AA47" s="966"/>
      <c r="AB47" s="164"/>
      <c r="AC47" s="165"/>
      <c r="AD47" s="165">
        <f>V47*2</f>
        <v>16000</v>
      </c>
      <c r="AE47" s="165">
        <f>SUM(AG27:AG46)</f>
        <v>818400</v>
      </c>
      <c r="AF47" s="165">
        <v>0</v>
      </c>
      <c r="AG47" s="165">
        <v>0</v>
      </c>
      <c r="AH47" s="165">
        <v>0</v>
      </c>
      <c r="AI47" s="165">
        <v>0</v>
      </c>
      <c r="AJ47" s="165">
        <v>0</v>
      </c>
      <c r="AK47" s="165">
        <v>0</v>
      </c>
      <c r="AL47" s="165">
        <f t="shared" si="2"/>
        <v>0</v>
      </c>
      <c r="AM47" s="165">
        <f t="shared" si="1"/>
        <v>834400</v>
      </c>
      <c r="AN47" s="165"/>
      <c r="AO47" s="165"/>
      <c r="AP47" s="165"/>
      <c r="AQ47" s="165"/>
      <c r="AR47" s="165"/>
      <c r="AS47" s="165"/>
      <c r="AT47" s="656"/>
    </row>
    <row r="48" spans="1:46" ht="18" customHeight="1" x14ac:dyDescent="0.3">
      <c r="A48" s="346"/>
      <c r="B48" s="347"/>
      <c r="C48" s="347"/>
      <c r="D48" s="347"/>
      <c r="E48" s="347"/>
      <c r="F48" s="347"/>
      <c r="G48" s="347"/>
      <c r="H48" s="347"/>
      <c r="I48" s="347"/>
      <c r="J48" s="347"/>
      <c r="K48" s="146" t="s">
        <v>169</v>
      </c>
      <c r="L48" s="147"/>
      <c r="M48" s="147"/>
      <c r="N48" s="147"/>
      <c r="O48" s="147"/>
      <c r="P48" s="147"/>
      <c r="Q48" s="147"/>
      <c r="R48" s="983">
        <v>148</v>
      </c>
      <c r="S48" s="984"/>
      <c r="T48" s="983" t="s">
        <v>46</v>
      </c>
      <c r="U48" s="984"/>
      <c r="V48" s="997">
        <v>650</v>
      </c>
      <c r="W48" s="998"/>
      <c r="X48" s="999"/>
      <c r="Y48" s="832">
        <f t="shared" si="0"/>
        <v>96200</v>
      </c>
      <c r="Z48" s="833"/>
      <c r="AA48" s="966"/>
      <c r="AB48" s="164"/>
      <c r="AC48" s="165"/>
      <c r="AD48" s="165">
        <f>V48*30</f>
        <v>19500</v>
      </c>
      <c r="AE48" s="165">
        <f>SUM(AG48:AG75)</f>
        <v>160000</v>
      </c>
      <c r="AF48" s="165">
        <f>V48*15</f>
        <v>9750</v>
      </c>
      <c r="AG48" s="165">
        <f t="shared" ref="AG48" si="6">V48*10</f>
        <v>6500</v>
      </c>
      <c r="AH48" s="165">
        <f>V48*15</f>
        <v>9750</v>
      </c>
      <c r="AI48" s="165">
        <f>V48*15</f>
        <v>9750</v>
      </c>
      <c r="AJ48" s="165">
        <f>V48*15</f>
        <v>9750</v>
      </c>
      <c r="AK48" s="165">
        <f>V48*23</f>
        <v>14950</v>
      </c>
      <c r="AL48" s="165">
        <f>V48*25</f>
        <v>16250</v>
      </c>
      <c r="AM48" s="165">
        <f t="shared" si="1"/>
        <v>256200</v>
      </c>
      <c r="AN48" s="165"/>
      <c r="AO48" s="351"/>
      <c r="AP48" s="165"/>
      <c r="AQ48" s="165"/>
      <c r="AR48" s="351"/>
      <c r="AS48" s="165"/>
      <c r="AT48" s="656"/>
    </row>
    <row r="49" spans="1:46" ht="18" customHeight="1" x14ac:dyDescent="0.3">
      <c r="A49" s="346"/>
      <c r="B49" s="347"/>
      <c r="C49" s="347"/>
      <c r="D49" s="347"/>
      <c r="E49" s="347"/>
      <c r="F49" s="347"/>
      <c r="G49" s="347"/>
      <c r="H49" s="347"/>
      <c r="I49" s="347"/>
      <c r="J49" s="347"/>
      <c r="K49" s="146" t="s">
        <v>188</v>
      </c>
      <c r="L49" s="147"/>
      <c r="M49" s="147"/>
      <c r="N49" s="147"/>
      <c r="O49" s="147"/>
      <c r="P49" s="147"/>
      <c r="Q49" s="147"/>
      <c r="R49" s="983">
        <v>10</v>
      </c>
      <c r="S49" s="984"/>
      <c r="T49" s="983" t="s">
        <v>46</v>
      </c>
      <c r="U49" s="984"/>
      <c r="V49" s="997">
        <v>6500</v>
      </c>
      <c r="W49" s="998"/>
      <c r="X49" s="999"/>
      <c r="Y49" s="832">
        <f t="shared" si="0"/>
        <v>65000</v>
      </c>
      <c r="Z49" s="833"/>
      <c r="AA49" s="966"/>
      <c r="AB49" s="164"/>
      <c r="AC49" s="165"/>
      <c r="AD49" s="165">
        <v>0</v>
      </c>
      <c r="AE49" s="165"/>
      <c r="AF49" s="165">
        <f>V49*2</f>
        <v>13000</v>
      </c>
      <c r="AG49" s="165"/>
      <c r="AH49" s="165">
        <f>V49*2</f>
        <v>13000</v>
      </c>
      <c r="AI49" s="165">
        <f>V49*2</f>
        <v>13000</v>
      </c>
      <c r="AJ49" s="165">
        <v>0</v>
      </c>
      <c r="AK49" s="165">
        <f>V49*2</f>
        <v>13000</v>
      </c>
      <c r="AL49" s="165">
        <f>V49*2</f>
        <v>13000</v>
      </c>
      <c r="AM49" s="165">
        <f t="shared" si="1"/>
        <v>65000</v>
      </c>
      <c r="AN49" s="165"/>
      <c r="AO49" s="351"/>
      <c r="AP49" s="165"/>
      <c r="AQ49" s="351"/>
      <c r="AR49" s="351"/>
      <c r="AS49" s="165"/>
      <c r="AT49" s="656"/>
    </row>
    <row r="50" spans="1:46" ht="18" customHeight="1" x14ac:dyDescent="0.3">
      <c r="A50" s="353"/>
      <c r="B50" s="354"/>
      <c r="C50" s="354"/>
      <c r="D50" s="354"/>
      <c r="E50" s="354"/>
      <c r="F50" s="354"/>
      <c r="G50" s="354"/>
      <c r="H50" s="354"/>
      <c r="I50" s="354"/>
      <c r="J50" s="354"/>
      <c r="K50" s="355" t="s">
        <v>171</v>
      </c>
      <c r="L50" s="356"/>
      <c r="M50" s="356"/>
      <c r="N50" s="356"/>
      <c r="O50" s="356"/>
      <c r="P50" s="356"/>
      <c r="Q50" s="356"/>
      <c r="R50" s="1065">
        <v>350</v>
      </c>
      <c r="S50" s="1066"/>
      <c r="T50" s="1065" t="s">
        <v>46</v>
      </c>
      <c r="U50" s="1066"/>
      <c r="V50" s="1000">
        <v>850</v>
      </c>
      <c r="W50" s="1001"/>
      <c r="X50" s="1002"/>
      <c r="Y50" s="1006">
        <f t="shared" si="0"/>
        <v>297500</v>
      </c>
      <c r="Z50" s="1007"/>
      <c r="AA50" s="1008"/>
      <c r="AB50" s="164"/>
      <c r="AC50" s="165"/>
      <c r="AD50" s="165">
        <f>V50*50</f>
        <v>42500</v>
      </c>
      <c r="AE50" s="165"/>
      <c r="AF50" s="165">
        <f>V50*50</f>
        <v>42500</v>
      </c>
      <c r="AG50" s="165">
        <f>V50*40</f>
        <v>34000</v>
      </c>
      <c r="AH50" s="165">
        <f>V50*50</f>
        <v>42500</v>
      </c>
      <c r="AI50" s="165">
        <f>V50*50</f>
        <v>42500</v>
      </c>
      <c r="AJ50" s="165">
        <f>V50*50</f>
        <v>42500</v>
      </c>
      <c r="AK50" s="165">
        <f>V50*10</f>
        <v>8500</v>
      </c>
      <c r="AL50" s="165">
        <f>V50*50</f>
        <v>42500</v>
      </c>
      <c r="AM50" s="165">
        <f t="shared" si="1"/>
        <v>297500</v>
      </c>
      <c r="AN50" s="165"/>
      <c r="AO50" s="165"/>
      <c r="AP50" s="165"/>
      <c r="AQ50" s="351"/>
      <c r="AR50" s="165"/>
      <c r="AS50" s="165"/>
      <c r="AT50" s="655"/>
    </row>
    <row r="51" spans="1:46" ht="18" customHeight="1" x14ac:dyDescent="0.2">
      <c r="A51" s="986" t="s">
        <v>331</v>
      </c>
      <c r="B51" s="987"/>
      <c r="C51" s="987"/>
      <c r="D51" s="987"/>
      <c r="E51" s="987"/>
      <c r="F51" s="987"/>
      <c r="G51" s="987"/>
      <c r="H51" s="987"/>
      <c r="I51" s="987"/>
      <c r="J51" s="987"/>
      <c r="K51" s="987"/>
      <c r="L51" s="987"/>
      <c r="M51" s="987"/>
      <c r="N51" s="987"/>
      <c r="O51" s="987"/>
      <c r="P51" s="987"/>
      <c r="Q51" s="987"/>
      <c r="R51" s="987"/>
      <c r="S51" s="987"/>
      <c r="T51" s="987"/>
      <c r="U51" s="987"/>
      <c r="V51" s="987"/>
      <c r="W51" s="987"/>
      <c r="X51" s="987"/>
      <c r="Y51" s="987"/>
      <c r="Z51" s="987"/>
      <c r="AA51" s="988"/>
      <c r="AB51" s="164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351"/>
      <c r="AR51" s="165"/>
      <c r="AS51" s="165"/>
      <c r="AT51" s="655"/>
    </row>
    <row r="52" spans="1:46" ht="18.600000000000001" customHeight="1" thickBot="1" x14ac:dyDescent="0.25">
      <c r="A52" s="989"/>
      <c r="B52" s="990"/>
      <c r="C52" s="990"/>
      <c r="D52" s="990"/>
      <c r="E52" s="990"/>
      <c r="F52" s="990"/>
      <c r="G52" s="990"/>
      <c r="H52" s="990"/>
      <c r="I52" s="990"/>
      <c r="J52" s="990"/>
      <c r="K52" s="990"/>
      <c r="L52" s="990"/>
      <c r="M52" s="990"/>
      <c r="N52" s="990"/>
      <c r="O52" s="990"/>
      <c r="P52" s="990"/>
      <c r="Q52" s="990"/>
      <c r="R52" s="990"/>
      <c r="S52" s="990"/>
      <c r="T52" s="990"/>
      <c r="U52" s="990"/>
      <c r="V52" s="990"/>
      <c r="W52" s="990"/>
      <c r="X52" s="990"/>
      <c r="Y52" s="990"/>
      <c r="Z52" s="990"/>
      <c r="AA52" s="991"/>
      <c r="AC52" s="351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656"/>
    </row>
    <row r="53" spans="1:46" s="38" customFormat="1" ht="18.600000000000001" customHeight="1" thickTop="1" x14ac:dyDescent="0.3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8"/>
      <c r="L53" s="199"/>
      <c r="M53" s="199"/>
      <c r="N53" s="199"/>
      <c r="O53" s="199"/>
      <c r="P53" s="199"/>
      <c r="Q53" s="199"/>
      <c r="R53" s="985"/>
      <c r="S53" s="985"/>
      <c r="T53" s="985"/>
      <c r="U53" s="985"/>
      <c r="V53" s="1017"/>
      <c r="W53" s="1017"/>
      <c r="X53" s="1017"/>
      <c r="Y53" s="1005"/>
      <c r="Z53" s="1005"/>
      <c r="AA53" s="1005"/>
      <c r="AC53" s="351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51"/>
    </row>
    <row r="54" spans="1:46" ht="18.75" customHeight="1" x14ac:dyDescent="0.3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8"/>
      <c r="L54" s="199"/>
      <c r="M54" s="199"/>
      <c r="N54" s="199"/>
      <c r="O54" s="199"/>
      <c r="P54" s="199"/>
      <c r="Q54" s="199"/>
      <c r="R54" s="601"/>
      <c r="S54" s="601"/>
      <c r="T54" s="601"/>
      <c r="U54" s="601"/>
      <c r="V54" s="609"/>
      <c r="W54" s="609"/>
      <c r="X54" s="609"/>
      <c r="Y54" s="610"/>
      <c r="Z54" s="610"/>
      <c r="AA54" s="610"/>
      <c r="AC54" s="351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656"/>
    </row>
    <row r="55" spans="1:46" ht="18.75" customHeight="1" x14ac:dyDescent="0.3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8"/>
      <c r="L55" s="199"/>
      <c r="M55" s="199"/>
      <c r="N55" s="199"/>
      <c r="O55" s="199"/>
      <c r="P55" s="199"/>
      <c r="Q55" s="199"/>
      <c r="R55" s="601"/>
      <c r="S55" s="601"/>
      <c r="T55" s="601"/>
      <c r="U55" s="601"/>
      <c r="V55" s="609"/>
      <c r="W55" s="609"/>
      <c r="X55" s="609"/>
      <c r="Y55" s="610"/>
      <c r="Z55" s="610"/>
      <c r="AA55" s="610"/>
      <c r="AC55" s="351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656"/>
    </row>
    <row r="56" spans="1:46" ht="18.75" customHeight="1" x14ac:dyDescent="0.3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8"/>
      <c r="L56" s="199"/>
      <c r="M56" s="199"/>
      <c r="N56" s="199"/>
      <c r="O56" s="199"/>
      <c r="P56" s="199"/>
      <c r="Q56" s="199"/>
      <c r="R56" s="601"/>
      <c r="S56" s="601"/>
      <c r="T56" s="601"/>
      <c r="U56" s="601"/>
      <c r="V56" s="609"/>
      <c r="W56" s="609"/>
      <c r="X56" s="609"/>
      <c r="Y56" s="610"/>
      <c r="Z56" s="610"/>
      <c r="AA56" s="610"/>
      <c r="AC56" s="351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656"/>
    </row>
    <row r="57" spans="1:46" ht="18.75" customHeight="1" x14ac:dyDescent="0.3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8"/>
      <c r="L57" s="199"/>
      <c r="M57" s="199"/>
      <c r="N57" s="199"/>
      <c r="O57" s="199"/>
      <c r="P57" s="199"/>
      <c r="Q57" s="199"/>
      <c r="R57" s="601"/>
      <c r="S57" s="601"/>
      <c r="T57" s="601"/>
      <c r="U57" s="601"/>
      <c r="V57" s="609"/>
      <c r="W57" s="609"/>
      <c r="X57" s="609"/>
      <c r="Y57" s="610"/>
      <c r="Z57" s="610"/>
      <c r="AA57" s="610"/>
      <c r="AC57" s="351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656"/>
    </row>
    <row r="58" spans="1:46" ht="18.75" customHeight="1" x14ac:dyDescent="0.3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8"/>
      <c r="L58" s="199"/>
      <c r="M58" s="199"/>
      <c r="N58" s="199"/>
      <c r="O58" s="199"/>
      <c r="P58" s="199"/>
      <c r="Q58" s="199"/>
      <c r="R58" s="601"/>
      <c r="S58" s="601"/>
      <c r="T58" s="601"/>
      <c r="U58" s="601"/>
      <c r="V58" s="609"/>
      <c r="W58" s="609"/>
      <c r="X58" s="609"/>
      <c r="Y58" s="610"/>
      <c r="Z58" s="610"/>
      <c r="AA58" s="610"/>
      <c r="AC58" s="351"/>
      <c r="AD58" s="165"/>
      <c r="AE58" s="165">
        <f>259500/300</f>
        <v>865</v>
      </c>
      <c r="AF58" s="165"/>
      <c r="AG58" s="165"/>
      <c r="AH58" s="165"/>
      <c r="AI58" s="165"/>
      <c r="AJ58" s="165"/>
      <c r="AK58" s="165"/>
      <c r="AL58" s="165"/>
      <c r="AM58" s="165"/>
      <c r="AN58" s="165"/>
      <c r="AO58" s="656"/>
    </row>
    <row r="59" spans="1:46" ht="18.75" customHeight="1" x14ac:dyDescent="0.3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8"/>
      <c r="L59" s="199"/>
      <c r="M59" s="199"/>
      <c r="N59" s="199"/>
      <c r="O59" s="199"/>
      <c r="P59" s="199"/>
      <c r="Q59" s="199"/>
      <c r="R59" s="601"/>
      <c r="S59" s="601"/>
      <c r="T59" s="601"/>
      <c r="U59" s="601"/>
      <c r="V59" s="609"/>
      <c r="W59" s="609"/>
      <c r="X59" s="609"/>
      <c r="Y59" s="610"/>
      <c r="Z59" s="610"/>
      <c r="AA59" s="610"/>
      <c r="AC59" s="351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656"/>
    </row>
    <row r="60" spans="1:46" ht="9.75" customHeight="1" x14ac:dyDescent="0.3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8"/>
      <c r="L60" s="199"/>
      <c r="M60" s="199"/>
      <c r="N60" s="199"/>
      <c r="O60" s="199"/>
      <c r="P60" s="199"/>
      <c r="Q60" s="199"/>
      <c r="R60" s="601"/>
      <c r="S60" s="601"/>
      <c r="T60" s="601"/>
      <c r="U60" s="601"/>
      <c r="V60" s="609"/>
      <c r="W60" s="609"/>
      <c r="X60" s="609"/>
      <c r="Y60" s="610"/>
      <c r="Z60" s="610"/>
      <c r="AA60" s="610"/>
      <c r="AC60" s="351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656"/>
    </row>
    <row r="61" spans="1:46" ht="9.75" customHeight="1" thickBot="1" x14ac:dyDescent="0.35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8"/>
      <c r="L61" s="199"/>
      <c r="M61" s="199"/>
      <c r="N61" s="199"/>
      <c r="O61" s="199"/>
      <c r="P61" s="199"/>
      <c r="Q61" s="199"/>
      <c r="R61" s="601"/>
      <c r="S61" s="601"/>
      <c r="T61" s="601"/>
      <c r="U61" s="601"/>
      <c r="V61" s="609"/>
      <c r="W61" s="609"/>
      <c r="X61" s="609"/>
      <c r="Y61" s="610"/>
      <c r="Z61" s="610"/>
      <c r="AA61" s="610"/>
      <c r="AC61" s="351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656"/>
    </row>
    <row r="62" spans="1:46" ht="18.75" customHeight="1" thickTop="1" x14ac:dyDescent="0.2">
      <c r="A62" s="977">
        <v>1</v>
      </c>
      <c r="B62" s="978"/>
      <c r="C62" s="978"/>
      <c r="D62" s="978"/>
      <c r="E62" s="978"/>
      <c r="F62" s="978"/>
      <c r="G62" s="978"/>
      <c r="H62" s="978"/>
      <c r="I62" s="978"/>
      <c r="J62" s="978"/>
      <c r="K62" s="975">
        <v>2</v>
      </c>
      <c r="L62" s="982"/>
      <c r="M62" s="982"/>
      <c r="N62" s="982"/>
      <c r="O62" s="982"/>
      <c r="P62" s="982"/>
      <c r="Q62" s="982"/>
      <c r="R62" s="975">
        <v>3</v>
      </c>
      <c r="S62" s="976"/>
      <c r="T62" s="975">
        <v>4</v>
      </c>
      <c r="U62" s="976"/>
      <c r="V62" s="975">
        <v>5</v>
      </c>
      <c r="W62" s="982"/>
      <c r="X62" s="976"/>
      <c r="Y62" s="975" t="s">
        <v>27</v>
      </c>
      <c r="Z62" s="982"/>
      <c r="AA62" s="1078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P62" s="165"/>
      <c r="AS62" s="165"/>
    </row>
    <row r="63" spans="1:46" ht="18.600000000000001" customHeight="1" x14ac:dyDescent="0.3">
      <c r="A63" s="716"/>
      <c r="B63" s="359"/>
      <c r="C63" s="359"/>
      <c r="D63" s="359"/>
      <c r="E63" s="359"/>
      <c r="F63" s="359"/>
      <c r="G63" s="359"/>
      <c r="H63" s="359"/>
      <c r="I63" s="359"/>
      <c r="J63" s="359"/>
      <c r="K63" s="360" t="s">
        <v>189</v>
      </c>
      <c r="L63" s="361"/>
      <c r="M63" s="361"/>
      <c r="N63" s="361"/>
      <c r="O63" s="361"/>
      <c r="P63" s="361"/>
      <c r="Q63" s="361"/>
      <c r="R63" s="1063">
        <v>23</v>
      </c>
      <c r="S63" s="1064"/>
      <c r="T63" s="1063" t="s">
        <v>46</v>
      </c>
      <c r="U63" s="1064"/>
      <c r="V63" s="1069">
        <v>5500</v>
      </c>
      <c r="W63" s="1070"/>
      <c r="X63" s="1071"/>
      <c r="Y63" s="970">
        <f t="shared" ref="Y63:Y74" si="7">V63*R63</f>
        <v>126500</v>
      </c>
      <c r="Z63" s="971"/>
      <c r="AA63" s="972"/>
      <c r="AC63" s="362"/>
      <c r="AD63" s="165">
        <f>V63*3</f>
        <v>16500</v>
      </c>
      <c r="AE63" s="165"/>
      <c r="AF63" s="165">
        <f>V63*2</f>
        <v>11000</v>
      </c>
      <c r="AG63" s="165">
        <f>V63*3</f>
        <v>16500</v>
      </c>
      <c r="AH63" s="165">
        <f>V63*3</f>
        <v>16500</v>
      </c>
      <c r="AI63" s="165">
        <f>V63*3</f>
        <v>16500</v>
      </c>
      <c r="AJ63" s="165">
        <f>V63*3</f>
        <v>16500</v>
      </c>
      <c r="AK63" s="165">
        <f>V63*3</f>
        <v>16500</v>
      </c>
      <c r="AL63" s="165">
        <f>V63*3</f>
        <v>16500</v>
      </c>
      <c r="AM63" s="165">
        <f t="shared" si="1"/>
        <v>126500</v>
      </c>
      <c r="AN63" s="165"/>
      <c r="AO63" s="675"/>
      <c r="AP63" s="165"/>
      <c r="AQ63" s="362"/>
      <c r="AR63" s="362"/>
      <c r="AS63" s="165"/>
      <c r="AT63" s="656"/>
    </row>
    <row r="64" spans="1:46" ht="18.600000000000001" customHeight="1" x14ac:dyDescent="0.3">
      <c r="A64" s="349"/>
      <c r="B64" s="350"/>
      <c r="C64" s="350"/>
      <c r="D64" s="350"/>
      <c r="E64" s="350"/>
      <c r="F64" s="350"/>
      <c r="G64" s="350"/>
      <c r="H64" s="350"/>
      <c r="I64" s="350"/>
      <c r="J64" s="350"/>
      <c r="K64" s="364" t="s">
        <v>276</v>
      </c>
      <c r="L64" s="365"/>
      <c r="M64" s="365"/>
      <c r="N64" s="365"/>
      <c r="O64" s="365"/>
      <c r="P64" s="365"/>
      <c r="Q64" s="365"/>
      <c r="R64" s="983">
        <v>20</v>
      </c>
      <c r="S64" s="984"/>
      <c r="T64" s="983" t="s">
        <v>168</v>
      </c>
      <c r="U64" s="984"/>
      <c r="V64" s="997">
        <v>34500</v>
      </c>
      <c r="W64" s="998"/>
      <c r="X64" s="999"/>
      <c r="Y64" s="967">
        <f>V64*R64</f>
        <v>690000</v>
      </c>
      <c r="Z64" s="968"/>
      <c r="AA64" s="969"/>
      <c r="AC64" s="362"/>
      <c r="AD64" s="165">
        <f>V64*4</f>
        <v>138000</v>
      </c>
      <c r="AE64" s="165"/>
      <c r="AF64" s="165">
        <f>V64*1</f>
        <v>34500</v>
      </c>
      <c r="AG64" s="165">
        <f>V64*1</f>
        <v>34500</v>
      </c>
      <c r="AH64" s="165">
        <f>V64*3</f>
        <v>103500</v>
      </c>
      <c r="AI64" s="165">
        <v>0</v>
      </c>
      <c r="AJ64" s="165">
        <f>V64*4</f>
        <v>138000</v>
      </c>
      <c r="AK64" s="165">
        <f>V64*3</f>
        <v>103500</v>
      </c>
      <c r="AL64" s="165">
        <f>V64*4</f>
        <v>138000</v>
      </c>
      <c r="AM64" s="165">
        <f t="shared" si="1"/>
        <v>690000</v>
      </c>
      <c r="AN64" s="165"/>
      <c r="AO64" s="362"/>
      <c r="AP64" s="165"/>
      <c r="AQ64" s="362"/>
      <c r="AR64" s="362"/>
      <c r="AS64" s="165"/>
      <c r="AT64" s="656"/>
    </row>
    <row r="65" spans="1:46" ht="18.600000000000001" customHeight="1" x14ac:dyDescent="0.3">
      <c r="A65" s="349"/>
      <c r="B65" s="350"/>
      <c r="C65" s="350"/>
      <c r="D65" s="350"/>
      <c r="E65" s="350"/>
      <c r="F65" s="350"/>
      <c r="G65" s="350"/>
      <c r="H65" s="350"/>
      <c r="I65" s="350"/>
      <c r="J65" s="350"/>
      <c r="K65" s="364" t="s">
        <v>402</v>
      </c>
      <c r="L65" s="365"/>
      <c r="M65" s="365"/>
      <c r="N65" s="365"/>
      <c r="O65" s="365"/>
      <c r="P65" s="365"/>
      <c r="Q65" s="365"/>
      <c r="R65" s="983">
        <v>4</v>
      </c>
      <c r="S65" s="984"/>
      <c r="T65" s="983" t="s">
        <v>293</v>
      </c>
      <c r="U65" s="984"/>
      <c r="V65" s="997">
        <v>18000</v>
      </c>
      <c r="W65" s="998"/>
      <c r="X65" s="999"/>
      <c r="Y65" s="967">
        <f>V65*R65</f>
        <v>72000</v>
      </c>
      <c r="Z65" s="968"/>
      <c r="AA65" s="969"/>
      <c r="AC65" s="362"/>
      <c r="AD65" s="165">
        <v>0</v>
      </c>
      <c r="AE65" s="165">
        <f>SUM(AF27:AF65)</f>
        <v>741150</v>
      </c>
      <c r="AF65" s="165">
        <f>V65*1</f>
        <v>18000</v>
      </c>
      <c r="AG65" s="165">
        <v>0</v>
      </c>
      <c r="AH65" s="165">
        <f>V65*1</f>
        <v>18000</v>
      </c>
      <c r="AI65" s="165">
        <v>0</v>
      </c>
      <c r="AJ65" s="165">
        <f>V65*1</f>
        <v>18000</v>
      </c>
      <c r="AK65" s="165">
        <v>0</v>
      </c>
      <c r="AL65" s="165">
        <f>V65*1</f>
        <v>18000</v>
      </c>
      <c r="AM65" s="165">
        <f t="shared" si="1"/>
        <v>813150</v>
      </c>
      <c r="AN65" s="165"/>
      <c r="AO65" s="675"/>
      <c r="AP65" s="165"/>
      <c r="AQ65" s="362"/>
      <c r="AR65" s="362"/>
      <c r="AS65" s="165"/>
      <c r="AT65" s="656"/>
    </row>
    <row r="66" spans="1:46" ht="18.600000000000001" customHeight="1" x14ac:dyDescent="0.3">
      <c r="A66" s="346"/>
      <c r="B66" s="347"/>
      <c r="C66" s="347"/>
      <c r="D66" s="347"/>
      <c r="E66" s="347"/>
      <c r="F66" s="347"/>
      <c r="G66" s="347"/>
      <c r="H66" s="347"/>
      <c r="I66" s="347"/>
      <c r="J66" s="347"/>
      <c r="K66" s="146" t="s">
        <v>173</v>
      </c>
      <c r="L66" s="147"/>
      <c r="M66" s="147"/>
      <c r="N66" s="147"/>
      <c r="O66" s="147"/>
      <c r="P66" s="147"/>
      <c r="Q66" s="147"/>
      <c r="R66" s="983">
        <v>30</v>
      </c>
      <c r="S66" s="984"/>
      <c r="T66" s="983" t="s">
        <v>46</v>
      </c>
      <c r="U66" s="984"/>
      <c r="V66" s="997">
        <v>21000</v>
      </c>
      <c r="W66" s="998"/>
      <c r="X66" s="999"/>
      <c r="Y66" s="832">
        <f t="shared" si="7"/>
        <v>630000</v>
      </c>
      <c r="Z66" s="833"/>
      <c r="AA66" s="966"/>
      <c r="AC66" s="362"/>
      <c r="AD66" s="165">
        <f>V66*4</f>
        <v>84000</v>
      </c>
      <c r="AE66" s="165"/>
      <c r="AF66" s="165">
        <f>V66*5</f>
        <v>105000</v>
      </c>
      <c r="AG66" s="165">
        <f>V66*3</f>
        <v>63000</v>
      </c>
      <c r="AH66" s="165">
        <f>V66*2</f>
        <v>42000</v>
      </c>
      <c r="AI66" s="165">
        <f>V66*3</f>
        <v>63000</v>
      </c>
      <c r="AJ66" s="165">
        <f>V66*3</f>
        <v>63000</v>
      </c>
      <c r="AK66" s="165">
        <v>0</v>
      </c>
      <c r="AL66" s="165">
        <f>V66*10</f>
        <v>210000</v>
      </c>
      <c r="AM66" s="165">
        <f t="shared" si="1"/>
        <v>630000</v>
      </c>
      <c r="AN66" s="165"/>
      <c r="AO66" s="366"/>
      <c r="AP66" s="165"/>
      <c r="AQ66" s="366"/>
      <c r="AR66" s="366"/>
      <c r="AS66" s="503"/>
      <c r="AT66" s="655"/>
    </row>
    <row r="67" spans="1:46" ht="18.600000000000001" customHeight="1" x14ac:dyDescent="0.3">
      <c r="A67" s="346"/>
      <c r="B67" s="347"/>
      <c r="C67" s="347"/>
      <c r="D67" s="347"/>
      <c r="E67" s="347"/>
      <c r="F67" s="347"/>
      <c r="G67" s="347"/>
      <c r="H67" s="347"/>
      <c r="I67" s="347"/>
      <c r="J67" s="347"/>
      <c r="K67" s="146" t="s">
        <v>295</v>
      </c>
      <c r="L67" s="147"/>
      <c r="M67" s="147"/>
      <c r="N67" s="147"/>
      <c r="O67" s="147"/>
      <c r="P67" s="147"/>
      <c r="Q67" s="147"/>
      <c r="R67" s="1067">
        <v>3</v>
      </c>
      <c r="S67" s="1068"/>
      <c r="T67" s="983" t="s">
        <v>46</v>
      </c>
      <c r="U67" s="984"/>
      <c r="V67" s="997">
        <v>5000</v>
      </c>
      <c r="W67" s="998"/>
      <c r="X67" s="999"/>
      <c r="Y67" s="832">
        <f t="shared" si="7"/>
        <v>15000</v>
      </c>
      <c r="Z67" s="833"/>
      <c r="AA67" s="966"/>
      <c r="AC67" s="362"/>
      <c r="AD67" s="165">
        <v>0</v>
      </c>
      <c r="AE67" s="165"/>
      <c r="AF67" s="165">
        <f>V67*1</f>
        <v>5000</v>
      </c>
      <c r="AG67" s="165">
        <v>0</v>
      </c>
      <c r="AH67" s="165">
        <f>V67*1</f>
        <v>5000</v>
      </c>
      <c r="AI67" s="165">
        <v>0</v>
      </c>
      <c r="AJ67" s="165">
        <v>0</v>
      </c>
      <c r="AK67" s="165">
        <v>0</v>
      </c>
      <c r="AL67" s="165">
        <f>V67*1</f>
        <v>5000</v>
      </c>
      <c r="AM67" s="165">
        <f t="shared" si="1"/>
        <v>15000</v>
      </c>
      <c r="AN67" s="165"/>
      <c r="AO67" s="676"/>
      <c r="AP67" s="165"/>
      <c r="AQ67" s="363"/>
      <c r="AR67" s="363"/>
      <c r="AS67" s="503"/>
      <c r="AT67" s="655"/>
    </row>
    <row r="68" spans="1:46" ht="18.75" customHeight="1" x14ac:dyDescent="0.3">
      <c r="A68" s="346"/>
      <c r="B68" s="347"/>
      <c r="C68" s="347"/>
      <c r="D68" s="347"/>
      <c r="E68" s="347"/>
      <c r="F68" s="347"/>
      <c r="G68" s="347"/>
      <c r="H68" s="347"/>
      <c r="I68" s="347"/>
      <c r="J68" s="347"/>
      <c r="K68" s="146" t="s">
        <v>57</v>
      </c>
      <c r="L68" s="147"/>
      <c r="M68" s="147"/>
      <c r="N68" s="147"/>
      <c r="O68" s="147"/>
      <c r="P68" s="147"/>
      <c r="Q68" s="147"/>
      <c r="R68" s="983">
        <v>2</v>
      </c>
      <c r="S68" s="984"/>
      <c r="T68" s="983" t="s">
        <v>46</v>
      </c>
      <c r="U68" s="984"/>
      <c r="V68" s="997">
        <v>11500</v>
      </c>
      <c r="W68" s="998"/>
      <c r="X68" s="999"/>
      <c r="Y68" s="832">
        <f t="shared" si="7"/>
        <v>23000</v>
      </c>
      <c r="Z68" s="833"/>
      <c r="AA68" s="966"/>
      <c r="AC68" s="362"/>
      <c r="AD68" s="165">
        <v>0</v>
      </c>
      <c r="AE68" s="165"/>
      <c r="AF68" s="165">
        <f>V68*2</f>
        <v>23000</v>
      </c>
      <c r="AG68" s="165">
        <v>0</v>
      </c>
      <c r="AH68" s="165">
        <v>0</v>
      </c>
      <c r="AI68" s="165">
        <v>0</v>
      </c>
      <c r="AJ68" s="165">
        <v>0</v>
      </c>
      <c r="AK68" s="165">
        <v>0</v>
      </c>
      <c r="AL68" s="165">
        <v>0</v>
      </c>
      <c r="AM68" s="165">
        <f t="shared" si="1"/>
        <v>23000</v>
      </c>
      <c r="AN68" s="165"/>
      <c r="AO68" s="676"/>
      <c r="AP68" s="165"/>
      <c r="AQ68" s="158"/>
      <c r="AR68" s="363"/>
      <c r="AS68" s="165"/>
      <c r="AT68" s="656"/>
    </row>
    <row r="69" spans="1:46" ht="18.75" customHeight="1" x14ac:dyDescent="0.3">
      <c r="A69" s="346"/>
      <c r="B69" s="347"/>
      <c r="C69" s="347"/>
      <c r="D69" s="347"/>
      <c r="E69" s="347"/>
      <c r="F69" s="347"/>
      <c r="G69" s="347"/>
      <c r="H69" s="347"/>
      <c r="I69" s="347"/>
      <c r="J69" s="347"/>
      <c r="K69" s="146" t="s">
        <v>202</v>
      </c>
      <c r="L69" s="147"/>
      <c r="M69" s="147"/>
      <c r="N69" s="147"/>
      <c r="O69" s="147"/>
      <c r="P69" s="147"/>
      <c r="Q69" s="147"/>
      <c r="R69" s="983">
        <v>4</v>
      </c>
      <c r="S69" s="984"/>
      <c r="T69" s="983" t="s">
        <v>46</v>
      </c>
      <c r="U69" s="984"/>
      <c r="V69" s="997">
        <v>17000</v>
      </c>
      <c r="W69" s="998"/>
      <c r="X69" s="999"/>
      <c r="Y69" s="832">
        <f t="shared" si="7"/>
        <v>68000</v>
      </c>
      <c r="Z69" s="833"/>
      <c r="AA69" s="966"/>
      <c r="AC69" s="362"/>
      <c r="AD69" s="165">
        <v>0</v>
      </c>
      <c r="AE69" s="165"/>
      <c r="AF69" s="165">
        <f>V69*2</f>
        <v>34000</v>
      </c>
      <c r="AG69" s="165">
        <v>0</v>
      </c>
      <c r="AH69" s="165">
        <v>0</v>
      </c>
      <c r="AI69" s="165">
        <v>0</v>
      </c>
      <c r="AJ69" s="165">
        <f>V69*1</f>
        <v>17000</v>
      </c>
      <c r="AK69" s="165">
        <v>0</v>
      </c>
      <c r="AL69" s="165">
        <f>V69*1</f>
        <v>17000</v>
      </c>
      <c r="AM69" s="165">
        <f t="shared" si="1"/>
        <v>68000</v>
      </c>
      <c r="AN69" s="165"/>
      <c r="AO69" s="158"/>
      <c r="AP69" s="165"/>
      <c r="AQ69" s="158"/>
      <c r="AR69" s="158"/>
      <c r="AS69" s="165"/>
      <c r="AT69" s="656"/>
    </row>
    <row r="70" spans="1:46" ht="18.75" customHeight="1" x14ac:dyDescent="0.3">
      <c r="A70" s="346"/>
      <c r="B70" s="347"/>
      <c r="C70" s="347"/>
      <c r="D70" s="347"/>
      <c r="E70" s="347"/>
      <c r="F70" s="347"/>
      <c r="G70" s="347"/>
      <c r="H70" s="347"/>
      <c r="I70" s="347"/>
      <c r="J70" s="347"/>
      <c r="K70" s="146" t="s">
        <v>346</v>
      </c>
      <c r="L70" s="147"/>
      <c r="M70" s="147"/>
      <c r="N70" s="147"/>
      <c r="O70" s="147"/>
      <c r="P70" s="147"/>
      <c r="Q70" s="147"/>
      <c r="R70" s="983">
        <v>10</v>
      </c>
      <c r="S70" s="984"/>
      <c r="T70" s="983" t="s">
        <v>281</v>
      </c>
      <c r="U70" s="984"/>
      <c r="V70" s="997">
        <v>5500</v>
      </c>
      <c r="W70" s="998"/>
      <c r="X70" s="999"/>
      <c r="Y70" s="832">
        <f t="shared" si="7"/>
        <v>55000</v>
      </c>
      <c r="Z70" s="833"/>
      <c r="AA70" s="966"/>
      <c r="AC70" s="362"/>
      <c r="AD70" s="165">
        <f>V70*2</f>
        <v>11000</v>
      </c>
      <c r="AE70" s="165"/>
      <c r="AF70" s="165">
        <f>V70*3</f>
        <v>16500</v>
      </c>
      <c r="AG70" s="165">
        <f>V70*1</f>
        <v>5500</v>
      </c>
      <c r="AH70" s="165">
        <f>V70*1</f>
        <v>5500</v>
      </c>
      <c r="AI70" s="165">
        <v>0</v>
      </c>
      <c r="AJ70" s="165">
        <v>0</v>
      </c>
      <c r="AK70" s="165">
        <v>0</v>
      </c>
      <c r="AL70" s="165">
        <f>V70*3</f>
        <v>16500</v>
      </c>
      <c r="AM70" s="165">
        <f t="shared" si="1"/>
        <v>55000</v>
      </c>
      <c r="AN70" s="165"/>
      <c r="AO70" s="158"/>
      <c r="AP70" s="165"/>
      <c r="AQ70" s="158"/>
      <c r="AR70" s="158"/>
      <c r="AS70" s="165"/>
      <c r="AT70" s="656"/>
    </row>
    <row r="71" spans="1:46" ht="18.75" customHeight="1" x14ac:dyDescent="0.3">
      <c r="A71" s="346"/>
      <c r="B71" s="347"/>
      <c r="C71" s="347"/>
      <c r="D71" s="347"/>
      <c r="E71" s="347"/>
      <c r="F71" s="347"/>
      <c r="G71" s="347"/>
      <c r="H71" s="347"/>
      <c r="I71" s="347"/>
      <c r="J71" s="347"/>
      <c r="K71" s="146" t="s">
        <v>347</v>
      </c>
      <c r="L71" s="147"/>
      <c r="M71" s="147"/>
      <c r="N71" s="147"/>
      <c r="O71" s="147"/>
      <c r="P71" s="147"/>
      <c r="Q71" s="147"/>
      <c r="R71" s="983">
        <v>3</v>
      </c>
      <c r="S71" s="984"/>
      <c r="T71" s="983" t="s">
        <v>46</v>
      </c>
      <c r="U71" s="984"/>
      <c r="V71" s="997">
        <v>11500</v>
      </c>
      <c r="W71" s="998"/>
      <c r="X71" s="999"/>
      <c r="Y71" s="832">
        <f t="shared" si="7"/>
        <v>34500</v>
      </c>
      <c r="Z71" s="833"/>
      <c r="AA71" s="966"/>
      <c r="AC71" s="362"/>
      <c r="AD71" s="165">
        <v>0</v>
      </c>
      <c r="AE71" s="165"/>
      <c r="AF71" s="165">
        <f>V71*1</f>
        <v>11500</v>
      </c>
      <c r="AG71" s="165">
        <v>0</v>
      </c>
      <c r="AH71" s="165">
        <f>V71*1</f>
        <v>11500</v>
      </c>
      <c r="AI71" s="165">
        <v>0</v>
      </c>
      <c r="AJ71" s="165">
        <v>0</v>
      </c>
      <c r="AK71" s="165">
        <v>0</v>
      </c>
      <c r="AL71" s="165">
        <f>V71*1</f>
        <v>11500</v>
      </c>
      <c r="AM71" s="165">
        <f t="shared" si="1"/>
        <v>34500</v>
      </c>
      <c r="AN71" s="165"/>
      <c r="AO71" s="158"/>
      <c r="AP71" s="165"/>
      <c r="AQ71" s="158"/>
      <c r="AR71" s="158"/>
      <c r="AS71" s="165"/>
      <c r="AT71" s="656"/>
    </row>
    <row r="72" spans="1:46" ht="18.75" customHeight="1" x14ac:dyDescent="0.3">
      <c r="A72" s="346"/>
      <c r="B72" s="347"/>
      <c r="C72" s="347"/>
      <c r="D72" s="347"/>
      <c r="E72" s="347"/>
      <c r="F72" s="347"/>
      <c r="G72" s="347"/>
      <c r="H72" s="347"/>
      <c r="I72" s="347"/>
      <c r="J72" s="347"/>
      <c r="K72" s="146" t="s">
        <v>403</v>
      </c>
      <c r="L72" s="147"/>
      <c r="M72" s="147"/>
      <c r="N72" s="147"/>
      <c r="O72" s="147"/>
      <c r="P72" s="147"/>
      <c r="Q72" s="147"/>
      <c r="R72" s="983">
        <v>2</v>
      </c>
      <c r="S72" s="984"/>
      <c r="T72" s="983" t="s">
        <v>293</v>
      </c>
      <c r="U72" s="984"/>
      <c r="V72" s="997">
        <v>13500</v>
      </c>
      <c r="W72" s="998"/>
      <c r="X72" s="999"/>
      <c r="Y72" s="832">
        <f t="shared" si="7"/>
        <v>27000</v>
      </c>
      <c r="Z72" s="833"/>
      <c r="AA72" s="966"/>
      <c r="AC72" s="362"/>
      <c r="AD72" s="165">
        <v>0</v>
      </c>
      <c r="AE72" s="165"/>
      <c r="AF72" s="165">
        <f>V72*1</f>
        <v>13500</v>
      </c>
      <c r="AG72" s="165">
        <v>0</v>
      </c>
      <c r="AH72" s="165">
        <v>0</v>
      </c>
      <c r="AI72" s="165">
        <v>0</v>
      </c>
      <c r="AJ72" s="165">
        <f>V72*1</f>
        <v>13500</v>
      </c>
      <c r="AK72" s="165">
        <v>0</v>
      </c>
      <c r="AL72" s="165">
        <v>0</v>
      </c>
      <c r="AM72" s="165">
        <f t="shared" si="1"/>
        <v>27000</v>
      </c>
      <c r="AN72" s="165"/>
      <c r="AO72" s="158"/>
      <c r="AP72" s="165"/>
      <c r="AQ72" s="158"/>
      <c r="AR72" s="158"/>
      <c r="AS72" s="165"/>
      <c r="AT72" s="656"/>
    </row>
    <row r="73" spans="1:46" ht="18.75" customHeight="1" x14ac:dyDescent="0.3">
      <c r="A73" s="346"/>
      <c r="B73" s="347"/>
      <c r="C73" s="347"/>
      <c r="D73" s="347"/>
      <c r="E73" s="347"/>
      <c r="F73" s="347"/>
      <c r="G73" s="347"/>
      <c r="H73" s="347"/>
      <c r="I73" s="347"/>
      <c r="J73" s="347"/>
      <c r="K73" s="146" t="s">
        <v>300</v>
      </c>
      <c r="L73" s="147"/>
      <c r="M73" s="147"/>
      <c r="N73" s="147"/>
      <c r="O73" s="147"/>
      <c r="P73" s="147"/>
      <c r="Q73" s="147"/>
      <c r="R73" s="983">
        <v>5</v>
      </c>
      <c r="S73" s="984"/>
      <c r="T73" s="983" t="s">
        <v>46</v>
      </c>
      <c r="U73" s="984"/>
      <c r="V73" s="997">
        <v>17000</v>
      </c>
      <c r="W73" s="998"/>
      <c r="X73" s="999"/>
      <c r="Y73" s="832">
        <f>V73*R73</f>
        <v>85000</v>
      </c>
      <c r="Z73" s="833"/>
      <c r="AA73" s="966"/>
      <c r="AC73" s="362"/>
      <c r="AD73" s="165">
        <v>0</v>
      </c>
      <c r="AE73" s="165">
        <f>V73*2</f>
        <v>34000</v>
      </c>
      <c r="AF73" s="165">
        <f>V73*1</f>
        <v>17000</v>
      </c>
      <c r="AG73" s="165">
        <v>0</v>
      </c>
      <c r="AH73" s="165">
        <v>0</v>
      </c>
      <c r="AI73" s="165">
        <f>V73*1</f>
        <v>17000</v>
      </c>
      <c r="AJ73" s="165">
        <v>0</v>
      </c>
      <c r="AK73" s="165">
        <f>V73*1</f>
        <v>17000</v>
      </c>
      <c r="AL73" s="165">
        <v>0</v>
      </c>
      <c r="AM73" s="165">
        <f t="shared" si="1"/>
        <v>85000</v>
      </c>
      <c r="AN73" s="165"/>
      <c r="AO73" s="362"/>
      <c r="AP73" s="165"/>
      <c r="AQ73" s="158"/>
      <c r="AR73" s="362"/>
      <c r="AS73" s="165"/>
      <c r="AT73" s="656"/>
    </row>
    <row r="74" spans="1:46" ht="18.75" customHeight="1" x14ac:dyDescent="0.3">
      <c r="A74" s="346"/>
      <c r="B74" s="347"/>
      <c r="C74" s="347"/>
      <c r="D74" s="347"/>
      <c r="E74" s="347"/>
      <c r="F74" s="347"/>
      <c r="G74" s="347"/>
      <c r="H74" s="347"/>
      <c r="I74" s="347"/>
      <c r="J74" s="347"/>
      <c r="K74" s="146" t="s">
        <v>172</v>
      </c>
      <c r="L74" s="147"/>
      <c r="M74" s="147"/>
      <c r="N74" s="147"/>
      <c r="O74" s="147"/>
      <c r="P74" s="147"/>
      <c r="Q74" s="147"/>
      <c r="R74" s="1065">
        <v>4</v>
      </c>
      <c r="S74" s="1066"/>
      <c r="T74" s="1065" t="s">
        <v>58</v>
      </c>
      <c r="U74" s="1066"/>
      <c r="V74" s="1000">
        <v>6500</v>
      </c>
      <c r="W74" s="1001"/>
      <c r="X74" s="1002"/>
      <c r="Y74" s="832">
        <f t="shared" si="7"/>
        <v>26000</v>
      </c>
      <c r="Z74" s="833"/>
      <c r="AA74" s="966"/>
      <c r="AC74" s="362"/>
      <c r="AD74" s="165">
        <v>0</v>
      </c>
      <c r="AE74" s="165"/>
      <c r="AF74" s="165">
        <f>V74*2</f>
        <v>13000</v>
      </c>
      <c r="AG74" s="165">
        <v>0</v>
      </c>
      <c r="AH74" s="165">
        <f>V74*1</f>
        <v>6500</v>
      </c>
      <c r="AI74" s="165">
        <v>0</v>
      </c>
      <c r="AJ74" s="165">
        <v>0</v>
      </c>
      <c r="AK74" s="165">
        <v>0</v>
      </c>
      <c r="AL74" s="165">
        <f>V74*1</f>
        <v>6500</v>
      </c>
      <c r="AM74" s="165">
        <f t="shared" si="1"/>
        <v>26000</v>
      </c>
      <c r="AN74" s="165"/>
      <c r="AO74" s="165"/>
      <c r="AP74" s="165"/>
      <c r="AQ74" s="165"/>
      <c r="AR74" s="165"/>
      <c r="AS74" s="165"/>
      <c r="AT74" s="656"/>
    </row>
    <row r="75" spans="1:46" ht="18.75" customHeight="1" x14ac:dyDescent="0.2">
      <c r="A75" s="717"/>
      <c r="B75" s="367"/>
      <c r="C75" s="367"/>
      <c r="D75" s="367"/>
      <c r="E75" s="367"/>
      <c r="F75" s="367"/>
      <c r="G75" s="367"/>
      <c r="H75" s="367"/>
      <c r="I75" s="367"/>
      <c r="J75" s="367"/>
      <c r="K75" s="368"/>
      <c r="L75" s="368"/>
      <c r="M75" s="368"/>
      <c r="N75" s="368"/>
      <c r="O75" s="368"/>
      <c r="P75" s="368"/>
      <c r="Q75" s="368"/>
      <c r="R75" s="1062"/>
      <c r="S75" s="1062"/>
      <c r="T75" s="866"/>
      <c r="U75" s="866"/>
      <c r="V75" s="992" t="s">
        <v>28</v>
      </c>
      <c r="W75" s="992"/>
      <c r="X75" s="993"/>
      <c r="Y75" s="994">
        <f>SUM(Y27:AA74)</f>
        <v>8007200</v>
      </c>
      <c r="Z75" s="995"/>
      <c r="AA75" s="996"/>
      <c r="AC75" s="165"/>
      <c r="AD75" s="165"/>
      <c r="AE75" s="165"/>
      <c r="AF75" s="165"/>
      <c r="AG75" s="165"/>
      <c r="AH75" s="165"/>
      <c r="AI75" s="165"/>
      <c r="AJ75" s="165"/>
      <c r="AK75" s="158"/>
      <c r="AL75" s="158"/>
      <c r="AM75" s="158"/>
      <c r="AN75" s="165"/>
      <c r="AO75" s="158"/>
      <c r="AP75" s="165"/>
      <c r="AQ75" s="158"/>
      <c r="AR75" s="158"/>
      <c r="AS75" s="165"/>
    </row>
    <row r="76" spans="1:46" ht="18.75" customHeight="1" x14ac:dyDescent="0.2">
      <c r="A76" s="369"/>
      <c r="B76" s="18" t="s">
        <v>306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69"/>
      <c r="AC76" s="329">
        <f>SUM(AC27:AC75)</f>
        <v>0</v>
      </c>
      <c r="AD76" s="329">
        <f>SUM(AD27:AD75)</f>
        <v>930600</v>
      </c>
      <c r="AE76" s="329">
        <f>SUM(AE27:AE75)</f>
        <v>2084415</v>
      </c>
      <c r="AF76" s="329">
        <f t="shared" ref="AF76:AM76" si="8">SUM(AF27:AF75)</f>
        <v>979650</v>
      </c>
      <c r="AG76" s="329">
        <f t="shared" si="8"/>
        <v>978400</v>
      </c>
      <c r="AH76" s="329">
        <f t="shared" si="8"/>
        <v>982650</v>
      </c>
      <c r="AI76" s="329">
        <f t="shared" si="8"/>
        <v>972150</v>
      </c>
      <c r="AJ76" s="329">
        <f t="shared" si="8"/>
        <v>969150</v>
      </c>
      <c r="AK76" s="329">
        <f t="shared" si="8"/>
        <v>841350</v>
      </c>
      <c r="AL76" s="329">
        <f t="shared" si="8"/>
        <v>989250</v>
      </c>
      <c r="AM76" s="329">
        <f t="shared" si="8"/>
        <v>9726750</v>
      </c>
      <c r="AN76" s="165"/>
      <c r="AO76" s="164"/>
    </row>
    <row r="77" spans="1:46" ht="18.75" customHeight="1" x14ac:dyDescent="0.2">
      <c r="A77" s="370"/>
      <c r="B77" s="38"/>
      <c r="C77" s="38"/>
      <c r="D77" s="38"/>
      <c r="E77" s="38"/>
      <c r="F77" s="38"/>
      <c r="G77" s="38"/>
      <c r="H77" s="371"/>
      <c r="I77" s="38"/>
      <c r="J77" s="372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1" t="str">
        <f>'Hon Keu'!U45</f>
        <v>CAMAT SUKOHARJO</v>
      </c>
      <c r="V77" s="38"/>
      <c r="W77" s="38"/>
      <c r="X77" s="151"/>
      <c r="Y77" s="38"/>
      <c r="Z77" s="38"/>
      <c r="AA77" s="301"/>
      <c r="AC77" s="579"/>
      <c r="AD77" s="579"/>
      <c r="AE77" s="579"/>
      <c r="AF77" s="579"/>
      <c r="AG77" s="579"/>
      <c r="AH77" s="579"/>
      <c r="AI77" s="579"/>
      <c r="AJ77" s="579"/>
      <c r="AK77" s="579"/>
      <c r="AL77" s="579"/>
      <c r="AN77" s="330"/>
    </row>
    <row r="78" spans="1:46" ht="18.75" customHeight="1" x14ac:dyDescent="0.2">
      <c r="A78" s="370"/>
      <c r="B78" s="38" t="s">
        <v>29</v>
      </c>
      <c r="C78" s="371"/>
      <c r="D78" s="38"/>
      <c r="E78" s="38"/>
      <c r="F78" s="357" t="s">
        <v>89</v>
      </c>
      <c r="G78" s="974">
        <f>SUM(AD76:AF76)</f>
        <v>3994665</v>
      </c>
      <c r="H78" s="974"/>
      <c r="I78" s="974"/>
      <c r="J78" s="974"/>
      <c r="K78" s="38"/>
      <c r="L78" s="38"/>
      <c r="M78" s="38"/>
      <c r="N78" s="38"/>
      <c r="O78" s="150"/>
      <c r="P78" s="150"/>
      <c r="Q78" s="150"/>
      <c r="R78" s="150"/>
      <c r="S78" s="150"/>
      <c r="T78" s="150"/>
      <c r="U78" s="151"/>
      <c r="V78" s="38"/>
      <c r="W78" s="679"/>
      <c r="X78" s="38"/>
      <c r="Y78" s="38"/>
      <c r="Z78" s="38"/>
      <c r="AA78" s="301"/>
      <c r="AC78" s="580"/>
      <c r="AD78" s="580"/>
      <c r="AE78" s="580"/>
      <c r="AF78" s="580"/>
      <c r="AG78" s="580"/>
      <c r="AH78" s="580"/>
      <c r="AI78" s="580"/>
      <c r="AJ78" s="580"/>
      <c r="AK78" s="580"/>
      <c r="AL78" s="580"/>
      <c r="AN78" s="164"/>
    </row>
    <row r="79" spans="1:46" ht="18.75" customHeight="1" x14ac:dyDescent="0.2">
      <c r="A79" s="370"/>
      <c r="B79" s="38" t="s">
        <v>30</v>
      </c>
      <c r="C79" s="371"/>
      <c r="D79" s="38"/>
      <c r="E79" s="38"/>
      <c r="F79" s="357" t="s">
        <v>89</v>
      </c>
      <c r="G79" s="974">
        <f>SUM(AG76:AH76)</f>
        <v>1961050</v>
      </c>
      <c r="H79" s="974"/>
      <c r="I79" s="974"/>
      <c r="J79" s="974"/>
      <c r="K79" s="38"/>
      <c r="L79" s="38"/>
      <c r="M79" s="38"/>
      <c r="N79" s="38"/>
      <c r="O79" s="150"/>
      <c r="P79" s="150"/>
      <c r="Q79" s="150"/>
      <c r="R79" s="150"/>
      <c r="S79" s="150"/>
      <c r="T79" s="150"/>
      <c r="U79" s="151"/>
      <c r="V79" s="38"/>
      <c r="W79" s="151"/>
      <c r="X79" s="38"/>
      <c r="Y79" s="38"/>
      <c r="Z79" s="38"/>
      <c r="AA79" s="301"/>
      <c r="AC79" s="581"/>
      <c r="AD79" s="581"/>
      <c r="AE79" s="581"/>
      <c r="AF79" s="581"/>
      <c r="AG79" s="581"/>
      <c r="AH79" s="581"/>
      <c r="AI79" s="581"/>
      <c r="AJ79" s="581"/>
      <c r="AK79" s="581"/>
      <c r="AL79" s="581"/>
    </row>
    <row r="80" spans="1:46" ht="18.75" customHeight="1" x14ac:dyDescent="0.2">
      <c r="A80" s="370"/>
      <c r="B80" s="38" t="s">
        <v>31</v>
      </c>
      <c r="C80" s="371"/>
      <c r="D80" s="38"/>
      <c r="E80" s="38"/>
      <c r="F80" s="357" t="s">
        <v>89</v>
      </c>
      <c r="G80" s="974">
        <f>SUM(AI76:AJ76)</f>
        <v>1941300</v>
      </c>
      <c r="H80" s="974"/>
      <c r="I80" s="974"/>
      <c r="J80" s="974"/>
      <c r="K80" s="38"/>
      <c r="L80" s="38"/>
      <c r="M80" s="38"/>
      <c r="N80" s="38"/>
      <c r="O80" s="150"/>
      <c r="P80" s="150"/>
      <c r="Q80" s="150"/>
      <c r="R80" s="150"/>
      <c r="S80" s="150"/>
      <c r="T80" s="150"/>
      <c r="U80" s="151"/>
      <c r="V80" s="38"/>
      <c r="W80" s="151"/>
      <c r="X80" s="38"/>
      <c r="Y80" s="38"/>
      <c r="Z80" s="38"/>
      <c r="AA80" s="301"/>
    </row>
    <row r="81" spans="1:44" ht="18.75" customHeight="1" x14ac:dyDescent="0.2">
      <c r="A81" s="370"/>
      <c r="B81" s="38" t="s">
        <v>32</v>
      </c>
      <c r="C81" s="373"/>
      <c r="D81" s="374"/>
      <c r="E81" s="38"/>
      <c r="F81" s="357" t="s">
        <v>89</v>
      </c>
      <c r="G81" s="974">
        <f>SUM(AK76:AL76)</f>
        <v>1830600</v>
      </c>
      <c r="H81" s="974"/>
      <c r="I81" s="974"/>
      <c r="J81" s="974"/>
      <c r="K81" s="38"/>
      <c r="L81" s="38"/>
      <c r="M81" s="38"/>
      <c r="N81" s="38"/>
      <c r="O81" s="375"/>
      <c r="P81" s="375"/>
      <c r="Q81" s="375"/>
      <c r="R81" s="375"/>
      <c r="S81" s="375"/>
      <c r="T81" s="375"/>
      <c r="U81" s="376" t="str">
        <f>'Hon Keu'!U49</f>
        <v>DUDI WARDOYO, AP, M.M</v>
      </c>
      <c r="V81" s="38"/>
      <c r="W81" s="376"/>
      <c r="X81" s="38"/>
      <c r="Y81" s="38"/>
      <c r="Z81" s="38"/>
      <c r="AA81" s="301"/>
      <c r="AC81" s="625"/>
    </row>
    <row r="82" spans="1:44" ht="15" customHeight="1" thickBot="1" x14ac:dyDescent="0.25">
      <c r="A82" s="370"/>
      <c r="B82" s="38"/>
      <c r="C82" s="38"/>
      <c r="D82" s="377" t="s">
        <v>28</v>
      </c>
      <c r="E82" s="38"/>
      <c r="F82" s="357" t="s">
        <v>89</v>
      </c>
      <c r="G82" s="973">
        <f>SUM(G78:J81)</f>
        <v>9727615</v>
      </c>
      <c r="H82" s="973"/>
      <c r="I82" s="973"/>
      <c r="J82" s="973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151" t="str">
        <f>'Hon Keu'!U50</f>
        <v>Pembina Tk. I</v>
      </c>
      <c r="V82" s="38"/>
      <c r="W82" s="151"/>
      <c r="X82" s="38"/>
      <c r="Y82" s="378"/>
      <c r="Z82" s="378"/>
      <c r="AA82" s="379"/>
      <c r="AC82" s="625"/>
    </row>
    <row r="83" spans="1:44" ht="13.5" customHeight="1" thickTop="1" x14ac:dyDescent="0.2">
      <c r="A83" s="38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51" t="str">
        <f>'Hon Keu'!U51</f>
        <v>NIP. 19741009 199311 1 001</v>
      </c>
      <c r="V83" s="110"/>
      <c r="W83" s="151"/>
      <c r="X83" s="110"/>
      <c r="Y83" s="110"/>
      <c r="Z83" s="110"/>
      <c r="AA83" s="381"/>
      <c r="AC83" s="164"/>
    </row>
    <row r="84" spans="1:44" ht="18.75" customHeight="1" x14ac:dyDescent="0.2">
      <c r="A84" s="865" t="s">
        <v>194</v>
      </c>
      <c r="B84" s="866"/>
      <c r="C84" s="866"/>
      <c r="D84" s="866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R84" s="866"/>
      <c r="S84" s="519"/>
      <c r="T84" s="520"/>
      <c r="U84" s="520"/>
      <c r="V84" s="520"/>
      <c r="W84" s="520"/>
      <c r="X84" s="520"/>
      <c r="Y84" s="520"/>
      <c r="Z84" s="520"/>
      <c r="AA84" s="521"/>
    </row>
    <row r="85" spans="1:44" ht="3.75" customHeight="1" x14ac:dyDescent="0.2">
      <c r="A85" s="382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516"/>
      <c r="T85" s="151"/>
      <c r="U85" s="151"/>
      <c r="V85" s="151"/>
      <c r="W85" s="151"/>
      <c r="X85" s="151"/>
      <c r="Y85" s="151"/>
      <c r="Z85" s="151"/>
      <c r="AA85" s="518"/>
    </row>
    <row r="86" spans="1:44" ht="13.5" customHeight="1" x14ac:dyDescent="0.2">
      <c r="A86" s="370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513"/>
      <c r="T86" s="38"/>
      <c r="U86" s="38"/>
      <c r="V86" s="38"/>
      <c r="W86" s="151" t="str">
        <f>'Hon Keu'!S52</f>
        <v>Wonosobo,        Januari 2019</v>
      </c>
      <c r="X86" s="38"/>
      <c r="Y86" s="38"/>
      <c r="Z86" s="38"/>
      <c r="AA86" s="301"/>
    </row>
    <row r="87" spans="1:44" ht="9" customHeight="1" x14ac:dyDescent="0.2">
      <c r="A87" s="370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513"/>
      <c r="T87" s="38"/>
      <c r="U87" s="38"/>
      <c r="V87" s="38"/>
      <c r="W87" s="151"/>
      <c r="X87" s="38"/>
      <c r="Y87" s="38"/>
      <c r="Z87" s="38"/>
      <c r="AA87" s="301"/>
    </row>
    <row r="88" spans="1:44" ht="18.75" customHeight="1" x14ac:dyDescent="0.2">
      <c r="A88" s="384"/>
      <c r="B88" s="372" t="s">
        <v>34</v>
      </c>
      <c r="C88" s="38" t="str">
        <f>'Hon Keu'!C56</f>
        <v>RIDWAN SETIA N, S.Kom</v>
      </c>
      <c r="D88" s="38"/>
      <c r="E88" s="38"/>
      <c r="F88" s="199"/>
      <c r="G88" s="38"/>
      <c r="H88" s="38"/>
      <c r="I88" s="38"/>
      <c r="J88" s="38"/>
      <c r="K88" s="385" t="s">
        <v>34</v>
      </c>
      <c r="L88" s="291" t="s">
        <v>196</v>
      </c>
      <c r="M88" s="291"/>
      <c r="N88" s="291"/>
      <c r="O88" s="38"/>
      <c r="P88" s="38"/>
      <c r="Q88" s="38"/>
      <c r="R88" s="291"/>
      <c r="S88" s="514"/>
      <c r="T88" s="291"/>
      <c r="U88" s="38"/>
      <c r="V88" s="38"/>
      <c r="W88" s="151" t="s">
        <v>33</v>
      </c>
      <c r="X88" s="38"/>
      <c r="Y88" s="38"/>
      <c r="Z88" s="38"/>
      <c r="AA88" s="301"/>
    </row>
    <row r="89" spans="1:44" ht="18.75" customHeight="1" x14ac:dyDescent="0.2">
      <c r="A89" s="384"/>
      <c r="B89" s="372"/>
      <c r="C89" s="38"/>
      <c r="D89" s="38"/>
      <c r="E89" s="38"/>
      <c r="F89" s="199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513"/>
      <c r="T89" s="38"/>
      <c r="U89" s="38"/>
      <c r="V89" s="38"/>
      <c r="W89" s="151" t="s">
        <v>85</v>
      </c>
      <c r="X89" s="38"/>
      <c r="Y89" s="38"/>
      <c r="Z89" s="38"/>
      <c r="AA89" s="301"/>
    </row>
    <row r="90" spans="1:44" ht="18.75" customHeight="1" x14ac:dyDescent="0.2">
      <c r="A90" s="384"/>
      <c r="B90" s="38"/>
      <c r="C90" s="38"/>
      <c r="D90" s="38"/>
      <c r="E90" s="38"/>
      <c r="F90" s="199"/>
      <c r="G90" s="38"/>
      <c r="H90" s="38"/>
      <c r="I90" s="38"/>
      <c r="J90" s="38"/>
      <c r="K90" s="38"/>
      <c r="L90" s="291"/>
      <c r="M90" s="38"/>
      <c r="N90" s="38"/>
      <c r="O90" s="38"/>
      <c r="P90" s="38"/>
      <c r="Q90" s="38"/>
      <c r="R90" s="291"/>
      <c r="S90" s="514"/>
      <c r="T90" s="291"/>
      <c r="U90" s="38"/>
      <c r="V90" s="38"/>
      <c r="W90" s="386"/>
      <c r="X90" s="38"/>
      <c r="Y90" s="38"/>
      <c r="Z90" s="38"/>
      <c r="AA90" s="301"/>
    </row>
    <row r="91" spans="1:44" ht="18.75" customHeight="1" x14ac:dyDescent="0.2">
      <c r="A91" s="370"/>
      <c r="B91" s="372" t="s">
        <v>35</v>
      </c>
      <c r="C91" s="38" t="str">
        <f>'Hon Keu'!C59</f>
        <v>SABAR KHOIRI</v>
      </c>
      <c r="D91" s="199"/>
      <c r="E91" s="199"/>
      <c r="F91" s="38"/>
      <c r="G91" s="38"/>
      <c r="H91" s="38"/>
      <c r="I91" s="38"/>
      <c r="J91" s="38"/>
      <c r="K91" s="385" t="s">
        <v>35</v>
      </c>
      <c r="L91" s="291" t="s">
        <v>279</v>
      </c>
      <c r="M91" s="199"/>
      <c r="N91" s="199"/>
      <c r="O91" s="38"/>
      <c r="P91" s="38"/>
      <c r="Q91" s="38"/>
      <c r="R91" s="199"/>
      <c r="S91" s="515"/>
      <c r="T91" s="199"/>
      <c r="U91" s="199"/>
      <c r="V91" s="199"/>
      <c r="W91" s="151"/>
      <c r="X91" s="199"/>
      <c r="Y91" s="199"/>
      <c r="Z91" s="199"/>
      <c r="AA91" s="387"/>
    </row>
    <row r="92" spans="1:44" s="139" customFormat="1" ht="18.75" customHeight="1" x14ac:dyDescent="0.2">
      <c r="A92" s="388"/>
      <c r="B92" s="372"/>
      <c r="C92" s="38"/>
      <c r="D92" s="38"/>
      <c r="E92" s="38"/>
      <c r="F92" s="151"/>
      <c r="G92" s="151"/>
      <c r="H92" s="151"/>
      <c r="I92" s="151"/>
      <c r="J92" s="151"/>
      <c r="K92" s="385"/>
      <c r="L92" s="291"/>
      <c r="M92" s="151"/>
      <c r="N92" s="151"/>
      <c r="O92" s="151"/>
      <c r="P92" s="151"/>
      <c r="Q92" s="151"/>
      <c r="R92" s="151"/>
      <c r="S92" s="516"/>
      <c r="T92" s="151"/>
      <c r="U92" s="389"/>
      <c r="V92" s="389"/>
      <c r="W92" s="376" t="str">
        <f>'Hon Keu'!W59</f>
        <v>Drs. M. KRISTIJADI, M.Si</v>
      </c>
      <c r="X92" s="389"/>
      <c r="Y92" s="389"/>
      <c r="Z92" s="38"/>
      <c r="AA92" s="301"/>
      <c r="AC92" s="656"/>
      <c r="AD92" s="656"/>
      <c r="AE92" s="656"/>
      <c r="AF92" s="656"/>
      <c r="AG92" s="656"/>
      <c r="AH92" s="656"/>
      <c r="AI92" s="656"/>
      <c r="AJ92" s="656"/>
      <c r="AK92" s="656"/>
      <c r="AL92" s="656"/>
      <c r="AM92" s="656"/>
      <c r="AN92" s="656"/>
      <c r="AO92" s="656"/>
      <c r="AP92" s="656"/>
      <c r="AQ92" s="656"/>
      <c r="AR92" s="656"/>
    </row>
    <row r="93" spans="1:44" s="139" customFormat="1" ht="13.5" customHeight="1" x14ac:dyDescent="0.2">
      <c r="A93" s="388"/>
      <c r="B93" s="372"/>
      <c r="C93" s="38"/>
      <c r="D93" s="38"/>
      <c r="E93" s="38"/>
      <c r="F93" s="151"/>
      <c r="G93" s="151"/>
      <c r="H93" s="151"/>
      <c r="I93" s="385"/>
      <c r="J93" s="291"/>
      <c r="K93" s="151"/>
      <c r="L93" s="151"/>
      <c r="M93" s="151"/>
      <c r="N93" s="151"/>
      <c r="O93" s="151"/>
      <c r="P93" s="151"/>
      <c r="Q93" s="151"/>
      <c r="R93" s="151"/>
      <c r="S93" s="516"/>
      <c r="T93" s="151"/>
      <c r="U93" s="389"/>
      <c r="V93" s="389"/>
      <c r="W93" s="151" t="str">
        <f>'Hon Keu'!W60</f>
        <v>Pembina Utama Muda</v>
      </c>
      <c r="X93" s="389"/>
      <c r="Y93" s="389"/>
      <c r="Z93" s="38"/>
      <c r="AA93" s="301"/>
      <c r="AC93" s="656"/>
      <c r="AD93" s="656"/>
      <c r="AE93" s="656"/>
      <c r="AF93" s="656"/>
      <c r="AG93" s="656"/>
      <c r="AH93" s="656"/>
      <c r="AI93" s="656"/>
      <c r="AJ93" s="656"/>
      <c r="AK93" s="656"/>
      <c r="AL93" s="656"/>
      <c r="AM93" s="656"/>
      <c r="AN93" s="656"/>
      <c r="AO93" s="656"/>
      <c r="AP93" s="656"/>
      <c r="AQ93" s="656"/>
      <c r="AR93" s="656"/>
    </row>
    <row r="94" spans="1:44" s="139" customFormat="1" ht="18.75" customHeight="1" x14ac:dyDescent="0.2">
      <c r="A94" s="388"/>
      <c r="B94" s="151"/>
      <c r="C94" s="151"/>
      <c r="D94" s="151"/>
      <c r="E94" s="151"/>
      <c r="F94" s="151"/>
      <c r="G94" s="372"/>
      <c r="H94" s="38"/>
      <c r="I94" s="38"/>
      <c r="J94" s="38"/>
      <c r="K94" s="151"/>
      <c r="L94" s="151"/>
      <c r="M94" s="151"/>
      <c r="N94" s="385"/>
      <c r="O94" s="291"/>
      <c r="P94" s="151"/>
      <c r="Q94" s="151"/>
      <c r="R94" s="151"/>
      <c r="S94" s="516"/>
      <c r="T94" s="151"/>
      <c r="U94" s="389"/>
      <c r="V94" s="389"/>
      <c r="W94" s="151" t="str">
        <f>'Hon Keu'!W61</f>
        <v>NIP. 19681226 199403 1 005</v>
      </c>
      <c r="X94" s="389"/>
      <c r="Y94" s="389"/>
      <c r="Z94" s="38"/>
      <c r="AA94" s="301"/>
      <c r="AC94" s="656"/>
      <c r="AD94" s="656"/>
      <c r="AE94" s="656"/>
      <c r="AF94" s="656"/>
      <c r="AG94" s="656"/>
      <c r="AH94" s="656"/>
      <c r="AI94" s="656"/>
      <c r="AJ94" s="656"/>
      <c r="AK94" s="656"/>
      <c r="AL94" s="656"/>
      <c r="AM94" s="656"/>
      <c r="AN94" s="656"/>
      <c r="AO94" s="656"/>
      <c r="AP94" s="656"/>
      <c r="AQ94" s="656"/>
      <c r="AR94" s="656"/>
    </row>
    <row r="95" spans="1:44" ht="0.75" customHeight="1" thickBot="1" x14ac:dyDescent="0.25">
      <c r="A95" s="390"/>
      <c r="B95" s="391"/>
      <c r="C95" s="391"/>
      <c r="D95" s="391"/>
      <c r="E95" s="391"/>
      <c r="F95" s="391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517"/>
      <c r="T95" s="392"/>
      <c r="U95" s="392"/>
      <c r="V95" s="392"/>
      <c r="W95" s="393"/>
      <c r="X95" s="392"/>
      <c r="Y95" s="392"/>
      <c r="Z95" s="392"/>
      <c r="AA95" s="394"/>
    </row>
    <row r="96" spans="1:44" ht="17.25" thickTop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</sheetData>
  <mergeCells count="216">
    <mergeCell ref="AG23:AH25"/>
    <mergeCell ref="AI23:AJ25"/>
    <mergeCell ref="AK23:AL25"/>
    <mergeCell ref="AT27:AV27"/>
    <mergeCell ref="AT28:AV28"/>
    <mergeCell ref="AT29:AV29"/>
    <mergeCell ref="AT30:AV30"/>
    <mergeCell ref="AT32:AV32"/>
    <mergeCell ref="Y74:AA74"/>
    <mergeCell ref="Y49:AA49"/>
    <mergeCell ref="Y67:AA67"/>
    <mergeCell ref="Y68:AA68"/>
    <mergeCell ref="Y34:AA34"/>
    <mergeCell ref="Y27:AA27"/>
    <mergeCell ref="Y44:AA44"/>
    <mergeCell ref="Y47:AA47"/>
    <mergeCell ref="AD23:AF25"/>
    <mergeCell ref="Y72:AA72"/>
    <mergeCell ref="Y62:AA62"/>
    <mergeCell ref="Y30:AA30"/>
    <mergeCell ref="R33:S33"/>
    <mergeCell ref="R35:S35"/>
    <mergeCell ref="T45:U45"/>
    <mergeCell ref="T40:U40"/>
    <mergeCell ref="T36:U36"/>
    <mergeCell ref="T37:U37"/>
    <mergeCell ref="T38:U38"/>
    <mergeCell ref="R36:S36"/>
    <mergeCell ref="R37:S37"/>
    <mergeCell ref="T33:U33"/>
    <mergeCell ref="T43:U43"/>
    <mergeCell ref="T42:U42"/>
    <mergeCell ref="R39:S39"/>
    <mergeCell ref="V27:X27"/>
    <mergeCell ref="Y28:AA28"/>
    <mergeCell ref="Y33:AA33"/>
    <mergeCell ref="Y32:AA32"/>
    <mergeCell ref="V28:X28"/>
    <mergeCell ref="V69:X69"/>
    <mergeCell ref="Y69:AA69"/>
    <mergeCell ref="V31:X31"/>
    <mergeCell ref="V35:X35"/>
    <mergeCell ref="V32:X32"/>
    <mergeCell ref="V38:X38"/>
    <mergeCell ref="V37:X37"/>
    <mergeCell ref="V45:X45"/>
    <mergeCell ref="T28:U28"/>
    <mergeCell ref="T29:U29"/>
    <mergeCell ref="T31:U31"/>
    <mergeCell ref="T32:U32"/>
    <mergeCell ref="V33:X33"/>
    <mergeCell ref="V30:X30"/>
    <mergeCell ref="V41:X41"/>
    <mergeCell ref="V40:X40"/>
    <mergeCell ref="T41:U41"/>
    <mergeCell ref="T35:U35"/>
    <mergeCell ref="V36:X36"/>
    <mergeCell ref="R65:S65"/>
    <mergeCell ref="T65:U65"/>
    <mergeCell ref="T48:U48"/>
    <mergeCell ref="R67:S67"/>
    <mergeCell ref="R68:S68"/>
    <mergeCell ref="T49:U49"/>
    <mergeCell ref="R64:S64"/>
    <mergeCell ref="V48:X48"/>
    <mergeCell ref="V49:X49"/>
    <mergeCell ref="V50:X50"/>
    <mergeCell ref="V68:X68"/>
    <mergeCell ref="V63:X63"/>
    <mergeCell ref="V67:X67"/>
    <mergeCell ref="V62:X62"/>
    <mergeCell ref="V66:X66"/>
    <mergeCell ref="R46:S46"/>
    <mergeCell ref="R41:S41"/>
    <mergeCell ref="R45:S45"/>
    <mergeCell ref="R40:S40"/>
    <mergeCell ref="T39:U39"/>
    <mergeCell ref="T46:U46"/>
    <mergeCell ref="V72:X72"/>
    <mergeCell ref="R30:S30"/>
    <mergeCell ref="T30:U30"/>
    <mergeCell ref="R34:S34"/>
    <mergeCell ref="T34:U34"/>
    <mergeCell ref="R42:S42"/>
    <mergeCell ref="R43:S43"/>
    <mergeCell ref="R44:S44"/>
    <mergeCell ref="V43:X43"/>
    <mergeCell ref="T44:U44"/>
    <mergeCell ref="T53:U53"/>
    <mergeCell ref="V42:X42"/>
    <mergeCell ref="V64:X64"/>
    <mergeCell ref="V65:X65"/>
    <mergeCell ref="R47:S47"/>
    <mergeCell ref="T47:U47"/>
    <mergeCell ref="V46:X46"/>
    <mergeCell ref="V44:X44"/>
    <mergeCell ref="R75:S75"/>
    <mergeCell ref="T75:U75"/>
    <mergeCell ref="R70:S70"/>
    <mergeCell ref="R48:S48"/>
    <mergeCell ref="R49:S49"/>
    <mergeCell ref="R63:S63"/>
    <mergeCell ref="T63:U63"/>
    <mergeCell ref="R71:S71"/>
    <mergeCell ref="T71:U71"/>
    <mergeCell ref="T72:U72"/>
    <mergeCell ref="R72:S72"/>
    <mergeCell ref="R73:S73"/>
    <mergeCell ref="T73:U73"/>
    <mergeCell ref="R50:S50"/>
    <mergeCell ref="T50:U50"/>
    <mergeCell ref="R74:S74"/>
    <mergeCell ref="T74:U74"/>
    <mergeCell ref="R69:S69"/>
    <mergeCell ref="T69:U69"/>
    <mergeCell ref="T70:U70"/>
    <mergeCell ref="T64:U64"/>
    <mergeCell ref="T66:U66"/>
    <mergeCell ref="T67:U67"/>
    <mergeCell ref="T68:U68"/>
    <mergeCell ref="R27:S27"/>
    <mergeCell ref="R28:S28"/>
    <mergeCell ref="R29:S29"/>
    <mergeCell ref="R31:S31"/>
    <mergeCell ref="R32:S32"/>
    <mergeCell ref="M5:AA5"/>
    <mergeCell ref="V25:X25"/>
    <mergeCell ref="Y1:AA2"/>
    <mergeCell ref="R1:X1"/>
    <mergeCell ref="Y17:AA17"/>
    <mergeCell ref="Y26:AA26"/>
    <mergeCell ref="R22:S22"/>
    <mergeCell ref="T22:U22"/>
    <mergeCell ref="A12:AA12"/>
    <mergeCell ref="A21:J22"/>
    <mergeCell ref="Y14:AA14"/>
    <mergeCell ref="Y13:AA13"/>
    <mergeCell ref="A13:F13"/>
    <mergeCell ref="G13:X13"/>
    <mergeCell ref="A1:Q1"/>
    <mergeCell ref="T26:U26"/>
    <mergeCell ref="T25:U25"/>
    <mergeCell ref="R26:S26"/>
    <mergeCell ref="V26:X26"/>
    <mergeCell ref="R23:S23"/>
    <mergeCell ref="A2:Q2"/>
    <mergeCell ref="A4:AA4"/>
    <mergeCell ref="A3:AA3"/>
    <mergeCell ref="K21:Q22"/>
    <mergeCell ref="V39:X39"/>
    <mergeCell ref="V53:X53"/>
    <mergeCell ref="Y15:AA15"/>
    <mergeCell ref="K23:Q23"/>
    <mergeCell ref="R21:X21"/>
    <mergeCell ref="V24:X24"/>
    <mergeCell ref="T24:U24"/>
    <mergeCell ref="Y25:AA25"/>
    <mergeCell ref="V22:X22"/>
    <mergeCell ref="V23:X23"/>
    <mergeCell ref="T23:U23"/>
    <mergeCell ref="Y24:AA24"/>
    <mergeCell ref="Y16:AA16"/>
    <mergeCell ref="A19:AA19"/>
    <mergeCell ref="A20:AA20"/>
    <mergeCell ref="A23:J23"/>
    <mergeCell ref="Y23:AA23"/>
    <mergeCell ref="Y21:AA22"/>
    <mergeCell ref="R25:S25"/>
    <mergeCell ref="R24:S24"/>
    <mergeCell ref="V29:X29"/>
    <mergeCell ref="V34:X34"/>
    <mergeCell ref="R38:S38"/>
    <mergeCell ref="T27:U27"/>
    <mergeCell ref="V73:X73"/>
    <mergeCell ref="Y73:AA73"/>
    <mergeCell ref="Y48:AA48"/>
    <mergeCell ref="Y29:AA29"/>
    <mergeCell ref="Y41:AA41"/>
    <mergeCell ref="Y70:AA70"/>
    <mergeCell ref="Y66:AA66"/>
    <mergeCell ref="Y53:AA53"/>
    <mergeCell ref="Y31:AA31"/>
    <mergeCell ref="Y35:AA35"/>
    <mergeCell ref="Y38:AA38"/>
    <mergeCell ref="Y36:AA36"/>
    <mergeCell ref="Y46:AA46"/>
    <mergeCell ref="Y37:AA37"/>
    <mergeCell ref="Y42:AA42"/>
    <mergeCell ref="Y43:AA43"/>
    <mergeCell ref="Y39:AA39"/>
    <mergeCell ref="Y50:AA50"/>
    <mergeCell ref="Y40:AA40"/>
    <mergeCell ref="A84:R84"/>
    <mergeCell ref="Y45:AA45"/>
    <mergeCell ref="Y64:AA64"/>
    <mergeCell ref="Y63:AA63"/>
    <mergeCell ref="G82:J82"/>
    <mergeCell ref="G81:J81"/>
    <mergeCell ref="G80:J80"/>
    <mergeCell ref="R62:S62"/>
    <mergeCell ref="A62:J62"/>
    <mergeCell ref="T62:U62"/>
    <mergeCell ref="G79:J79"/>
    <mergeCell ref="V47:X47"/>
    <mergeCell ref="G78:J78"/>
    <mergeCell ref="K62:Q62"/>
    <mergeCell ref="R66:S66"/>
    <mergeCell ref="R53:S53"/>
    <mergeCell ref="A51:AA52"/>
    <mergeCell ref="V75:X75"/>
    <mergeCell ref="Y75:AA75"/>
    <mergeCell ref="Y65:AA65"/>
    <mergeCell ref="V70:X70"/>
    <mergeCell ref="V71:X71"/>
    <mergeCell ref="Y71:AA71"/>
    <mergeCell ref="V74:X74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>
    <oddFooter>&amp;LHalaman : &amp;P</oddFooter>
  </headerFooter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58"/>
  <sheetViews>
    <sheetView showGridLines="0" view="pageBreakPreview" topLeftCell="K17" workbookViewId="0">
      <selection activeCell="AG25" sqref="AG25"/>
    </sheetView>
  </sheetViews>
  <sheetFormatPr defaultColWidth="4.42578125" defaultRowHeight="16.5" x14ac:dyDescent="0.2"/>
  <cols>
    <col min="1" max="5" width="3.7109375" style="15" customWidth="1"/>
    <col min="6" max="6" width="3.85546875" style="15" customWidth="1"/>
    <col min="7" max="7" width="3.7109375" style="15" customWidth="1"/>
    <col min="8" max="8" width="3.85546875" style="15" customWidth="1"/>
    <col min="9" max="10" width="3.7109375" style="15" customWidth="1"/>
    <col min="11" max="22" width="4.42578125" style="15"/>
    <col min="23" max="23" width="4.140625" style="15" customWidth="1"/>
    <col min="24" max="27" width="4.42578125" style="15"/>
    <col min="28" max="28" width="2.5703125" style="15" customWidth="1"/>
    <col min="29" max="29" width="11.85546875" style="15" customWidth="1"/>
    <col min="30" max="30" width="9.85546875" style="15" customWidth="1"/>
    <col min="31" max="31" width="10" style="15" customWidth="1"/>
    <col min="32" max="32" width="13.28515625" style="15" customWidth="1"/>
    <col min="33" max="33" width="10.28515625" style="15" customWidth="1"/>
    <col min="34" max="16384" width="4.42578125" style="15"/>
  </cols>
  <sheetData>
    <row r="1" spans="1:30" ht="22.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0" ht="24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337" t="s">
        <v>323</v>
      </c>
      <c r="S2" s="337" t="s">
        <v>323</v>
      </c>
      <c r="T2" s="337" t="s">
        <v>277</v>
      </c>
      <c r="U2" s="56" t="str">
        <f>K8</f>
        <v>01</v>
      </c>
      <c r="V2" s="56" t="str">
        <f>L8</f>
        <v>11</v>
      </c>
      <c r="W2" s="56" t="s">
        <v>40</v>
      </c>
      <c r="X2" s="56" t="s">
        <v>41</v>
      </c>
      <c r="Y2" s="777"/>
      <c r="Z2" s="778"/>
      <c r="AA2" s="779"/>
    </row>
    <row r="3" spans="1:30" ht="18.7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0" ht="18.7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0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0" ht="18.75" customHeight="1" x14ac:dyDescent="0.2">
      <c r="A6" s="266" t="s">
        <v>19</v>
      </c>
      <c r="B6" s="119"/>
      <c r="C6" s="119"/>
      <c r="D6" s="119"/>
      <c r="E6" s="119"/>
      <c r="F6" s="119"/>
      <c r="G6" s="683" t="s">
        <v>89</v>
      </c>
      <c r="H6" s="61" t="s">
        <v>325</v>
      </c>
      <c r="I6" s="61"/>
      <c r="J6" s="61"/>
      <c r="K6" s="61"/>
      <c r="L6" s="61"/>
      <c r="M6" s="16" t="s">
        <v>178</v>
      </c>
      <c r="N6" s="61"/>
      <c r="O6" s="61"/>
      <c r="P6" s="61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0" ht="18.75" customHeight="1" x14ac:dyDescent="0.2">
      <c r="A7" s="266" t="s">
        <v>20</v>
      </c>
      <c r="B7" s="119"/>
      <c r="C7" s="119"/>
      <c r="D7" s="119"/>
      <c r="E7" s="119"/>
      <c r="F7" s="119"/>
      <c r="G7" s="683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61"/>
      <c r="O7" s="61"/>
      <c r="P7" s="61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0" ht="18.75" customHeight="1" x14ac:dyDescent="0.2">
      <c r="A8" s="268" t="s">
        <v>21</v>
      </c>
      <c r="B8" s="120"/>
      <c r="C8" s="120"/>
      <c r="D8" s="120"/>
      <c r="E8" s="120"/>
      <c r="F8" s="120"/>
      <c r="G8" s="683" t="s">
        <v>89</v>
      </c>
      <c r="H8" s="61" t="s">
        <v>328</v>
      </c>
      <c r="I8" s="61"/>
      <c r="J8" s="61"/>
      <c r="K8" s="61" t="s">
        <v>44</v>
      </c>
      <c r="L8" s="61" t="s">
        <v>64</v>
      </c>
      <c r="M8" s="16" t="s">
        <v>103</v>
      </c>
      <c r="N8" s="61"/>
      <c r="O8" s="61"/>
      <c r="P8" s="61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0" ht="18.75" customHeight="1" x14ac:dyDescent="0.2">
      <c r="A9" s="268" t="s">
        <v>22</v>
      </c>
      <c r="B9" s="120"/>
      <c r="C9" s="120"/>
      <c r="D9" s="120"/>
      <c r="E9" s="120"/>
      <c r="F9" s="120"/>
      <c r="G9" s="683" t="s">
        <v>89</v>
      </c>
      <c r="H9" s="18" t="s">
        <v>384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0" ht="18.75" customHeight="1" x14ac:dyDescent="0.2">
      <c r="A10" s="268" t="s">
        <v>23</v>
      </c>
      <c r="B10" s="120"/>
      <c r="C10" s="120"/>
      <c r="D10" s="120"/>
      <c r="E10" s="120"/>
      <c r="F10" s="120"/>
      <c r="G10" s="683" t="s">
        <v>89</v>
      </c>
      <c r="H10" s="18" t="s">
        <v>178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0" ht="18.75" customHeight="1" x14ac:dyDescent="0.2">
      <c r="A11" s="268" t="s">
        <v>24</v>
      </c>
      <c r="B11" s="120"/>
      <c r="C11" s="120"/>
      <c r="D11" s="120"/>
      <c r="E11" s="120"/>
      <c r="F11" s="120"/>
      <c r="G11" s="683" t="s">
        <v>89</v>
      </c>
      <c r="H11" s="18" t="s">
        <v>385</v>
      </c>
      <c r="I11" s="20"/>
      <c r="J11" s="20"/>
      <c r="K11" s="20"/>
      <c r="L11" s="20"/>
      <c r="M11" s="18"/>
      <c r="N11" s="20"/>
      <c r="O11" s="20"/>
      <c r="P11" s="20"/>
      <c r="Q11" s="18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0" ht="18.75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D12" s="50"/>
    </row>
    <row r="13" spans="1:30" ht="18.75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0" ht="18.75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130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D14" s="50"/>
    </row>
    <row r="15" spans="1:30" ht="18.75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3975000</v>
      </c>
      <c r="Z15" s="892"/>
      <c r="AA15" s="893"/>
      <c r="AC15" s="15">
        <f>3043000-660000</f>
        <v>2383000</v>
      </c>
      <c r="AD15" s="51"/>
    </row>
    <row r="16" spans="1:30" ht="18.75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132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4" ht="18.75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131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51"/>
    </row>
    <row r="18" spans="1:34" ht="18.7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D18" s="51"/>
    </row>
    <row r="19" spans="1:34" ht="18.7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4" ht="18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</row>
    <row r="21" spans="1:34" ht="18.7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4" ht="18.7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4" ht="18.7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4" ht="18.7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64</v>
      </c>
      <c r="F24" s="83" t="s">
        <v>40</v>
      </c>
      <c r="G24" s="22" t="s">
        <v>41</v>
      </c>
      <c r="H24" s="22" t="s">
        <v>41</v>
      </c>
      <c r="I24" s="22"/>
      <c r="J24" s="22"/>
      <c r="K24" s="53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3975000</v>
      </c>
      <c r="Z24" s="918"/>
      <c r="AA24" s="948"/>
      <c r="AB24" s="138"/>
      <c r="AC24" s="138"/>
      <c r="AD24" s="1085"/>
      <c r="AE24" s="1085"/>
      <c r="AF24" s="138"/>
      <c r="AG24" s="138">
        <f>300300/300</f>
        <v>1001</v>
      </c>
    </row>
    <row r="25" spans="1:34" ht="18.7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64</v>
      </c>
      <c r="F25" s="23" t="s">
        <v>40</v>
      </c>
      <c r="G25" s="22" t="s">
        <v>41</v>
      </c>
      <c r="H25" s="22" t="s">
        <v>41</v>
      </c>
      <c r="I25" s="23" t="s">
        <v>47</v>
      </c>
      <c r="J25" s="23"/>
      <c r="K25" s="54" t="s">
        <v>60</v>
      </c>
      <c r="L25" s="59"/>
      <c r="M25" s="59"/>
      <c r="N25" s="59"/>
      <c r="O25" s="59"/>
      <c r="P25" s="59"/>
      <c r="Q25" s="59"/>
      <c r="R25" s="1042"/>
      <c r="S25" s="1043"/>
      <c r="T25" s="1042"/>
      <c r="U25" s="1043"/>
      <c r="V25" s="1042"/>
      <c r="W25" s="1044"/>
      <c r="X25" s="1043"/>
      <c r="Y25" s="1023">
        <f>Y26+Y30</f>
        <v>3975000</v>
      </c>
      <c r="Z25" s="1024"/>
      <c r="AA25" s="1025"/>
      <c r="AB25" s="138"/>
      <c r="AC25" s="138"/>
      <c r="AD25" s="507"/>
      <c r="AE25" s="164"/>
      <c r="AF25" s="138"/>
      <c r="AG25" s="138"/>
    </row>
    <row r="26" spans="1:34" ht="18.75" customHeight="1" x14ac:dyDescent="0.2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64</v>
      </c>
      <c r="F26" s="25" t="s">
        <v>40</v>
      </c>
      <c r="G26" s="25" t="s">
        <v>41</v>
      </c>
      <c r="H26" s="25" t="s">
        <v>41</v>
      </c>
      <c r="I26" s="25" t="s">
        <v>47</v>
      </c>
      <c r="J26" s="25" t="s">
        <v>44</v>
      </c>
      <c r="K26" s="24" t="s">
        <v>61</v>
      </c>
      <c r="L26" s="57"/>
      <c r="M26" s="57"/>
      <c r="N26" s="57"/>
      <c r="O26" s="57"/>
      <c r="P26" s="57"/>
      <c r="Q26" s="57"/>
      <c r="R26" s="1082"/>
      <c r="S26" s="1061"/>
      <c r="T26" s="1042"/>
      <c r="U26" s="1043"/>
      <c r="V26" s="1042"/>
      <c r="W26" s="1044"/>
      <c r="X26" s="1043"/>
      <c r="Y26" s="832">
        <f>SUM(Y27:AA29)</f>
        <v>1125000</v>
      </c>
      <c r="Z26" s="833"/>
      <c r="AA26" s="966"/>
      <c r="AB26" s="138"/>
      <c r="AC26" s="138"/>
      <c r="AD26" s="1074"/>
      <c r="AE26" s="1075"/>
      <c r="AF26" s="1075"/>
      <c r="AG26" s="1075"/>
    </row>
    <row r="27" spans="1:34" ht="18.75" customHeight="1" x14ac:dyDescent="0.2">
      <c r="A27" s="271"/>
      <c r="B27" s="25"/>
      <c r="C27" s="25"/>
      <c r="D27" s="25"/>
      <c r="E27" s="25"/>
      <c r="F27" s="25"/>
      <c r="G27" s="25"/>
      <c r="H27" s="25"/>
      <c r="I27" s="25"/>
      <c r="J27" s="25"/>
      <c r="K27" s="76" t="s">
        <v>271</v>
      </c>
      <c r="L27" s="60"/>
      <c r="M27" s="60"/>
      <c r="N27" s="60"/>
      <c r="O27" s="60"/>
      <c r="P27" s="60"/>
      <c r="Q27" s="60"/>
      <c r="R27" s="1082">
        <v>20</v>
      </c>
      <c r="S27" s="1061"/>
      <c r="T27" s="1042" t="s">
        <v>282</v>
      </c>
      <c r="U27" s="1043"/>
      <c r="V27" s="1079">
        <v>30000</v>
      </c>
      <c r="W27" s="1080"/>
      <c r="X27" s="1081"/>
      <c r="Y27" s="832">
        <f>V27*R27</f>
        <v>600000</v>
      </c>
      <c r="Z27" s="833"/>
      <c r="AA27" s="966"/>
      <c r="AB27" s="138"/>
      <c r="AC27" s="165">
        <v>300000</v>
      </c>
      <c r="AD27" s="165"/>
      <c r="AE27" s="165">
        <v>300000</v>
      </c>
      <c r="AF27" s="165"/>
      <c r="AG27" s="165">
        <f>SUM(AC27:AF27)</f>
        <v>600000</v>
      </c>
    </row>
    <row r="28" spans="1:34" ht="18.75" customHeight="1" x14ac:dyDescent="0.2">
      <c r="A28" s="271"/>
      <c r="B28" s="25"/>
      <c r="C28" s="25"/>
      <c r="D28" s="25"/>
      <c r="E28" s="25"/>
      <c r="F28" s="25"/>
      <c r="G28" s="25"/>
      <c r="H28" s="25"/>
      <c r="I28" s="25"/>
      <c r="J28" s="25"/>
      <c r="K28" s="76" t="s">
        <v>404</v>
      </c>
      <c r="L28" s="60"/>
      <c r="M28" s="60"/>
      <c r="N28" s="60"/>
      <c r="O28" s="60"/>
      <c r="P28" s="60"/>
      <c r="Q28" s="60"/>
      <c r="R28" s="1082">
        <v>210</v>
      </c>
      <c r="S28" s="1061"/>
      <c r="T28" s="1042" t="s">
        <v>282</v>
      </c>
      <c r="U28" s="1043"/>
      <c r="V28" s="1079">
        <v>2500</v>
      </c>
      <c r="W28" s="1080"/>
      <c r="X28" s="1081"/>
      <c r="Y28" s="832">
        <f>V28*R28</f>
        <v>525000</v>
      </c>
      <c r="Z28" s="833"/>
      <c r="AA28" s="966"/>
      <c r="AB28" s="138"/>
      <c r="AC28" s="165">
        <f>Y28</f>
        <v>525000</v>
      </c>
      <c r="AD28" s="165"/>
      <c r="AE28" s="165"/>
      <c r="AF28" s="165"/>
      <c r="AG28" s="165">
        <f>SUM(AC28:AF28)</f>
        <v>525000</v>
      </c>
    </row>
    <row r="29" spans="1:34" ht="12" customHeight="1" x14ac:dyDescent="0.2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76"/>
      <c r="L29" s="60"/>
      <c r="M29" s="60"/>
      <c r="N29" s="60"/>
      <c r="O29" s="60"/>
      <c r="P29" s="60"/>
      <c r="Q29" s="60"/>
      <c r="R29" s="1082"/>
      <c r="S29" s="1061"/>
      <c r="T29" s="1042"/>
      <c r="U29" s="1043"/>
      <c r="V29" s="1079"/>
      <c r="W29" s="1080"/>
      <c r="X29" s="1081"/>
      <c r="Y29" s="832"/>
      <c r="Z29" s="833"/>
      <c r="AA29" s="966"/>
      <c r="AB29" s="138"/>
      <c r="AC29" s="165"/>
      <c r="AD29" s="165"/>
      <c r="AE29" s="165"/>
      <c r="AF29" s="165"/>
      <c r="AG29" s="165">
        <f>SUM(AC29:AF29)</f>
        <v>0</v>
      </c>
    </row>
    <row r="30" spans="1:34" ht="18.75" customHeight="1" x14ac:dyDescent="0.2">
      <c r="A30" s="271" t="s">
        <v>323</v>
      </c>
      <c r="B30" s="25" t="s">
        <v>323</v>
      </c>
      <c r="C30" s="25" t="s">
        <v>277</v>
      </c>
      <c r="D30" s="25" t="s">
        <v>44</v>
      </c>
      <c r="E30" s="25" t="s">
        <v>64</v>
      </c>
      <c r="F30" s="25" t="s">
        <v>40</v>
      </c>
      <c r="G30" s="25" t="s">
        <v>41</v>
      </c>
      <c r="H30" s="25" t="s">
        <v>41</v>
      </c>
      <c r="I30" s="25" t="s">
        <v>47</v>
      </c>
      <c r="J30" s="25" t="s">
        <v>50</v>
      </c>
      <c r="K30" s="24" t="s">
        <v>62</v>
      </c>
      <c r="L30" s="57"/>
      <c r="M30" s="57"/>
      <c r="N30" s="57"/>
      <c r="O30" s="57"/>
      <c r="P30" s="57"/>
      <c r="Q30" s="57"/>
      <c r="R30" s="1082"/>
      <c r="S30" s="1061"/>
      <c r="T30" s="1042"/>
      <c r="U30" s="1043"/>
      <c r="V30" s="1042"/>
      <c r="W30" s="1044"/>
      <c r="X30" s="1043"/>
      <c r="Y30" s="832">
        <f>SUM(Y31:AA31)</f>
        <v>2850000</v>
      </c>
      <c r="Z30" s="833"/>
      <c r="AA30" s="966"/>
      <c r="AB30" s="138"/>
      <c r="AC30" s="165"/>
      <c r="AD30" s="165"/>
      <c r="AE30" s="165"/>
      <c r="AF30" s="165"/>
      <c r="AG30" s="165">
        <f>SUM(AC30:AF30)</f>
        <v>0</v>
      </c>
    </row>
    <row r="31" spans="1:34" ht="18.75" customHeight="1" x14ac:dyDescent="0.2">
      <c r="A31" s="275"/>
      <c r="B31" s="85"/>
      <c r="C31" s="85"/>
      <c r="D31" s="85"/>
      <c r="E31" s="85"/>
      <c r="F31" s="85"/>
      <c r="G31" s="25"/>
      <c r="H31" s="25"/>
      <c r="I31" s="25"/>
      <c r="J31" s="25"/>
      <c r="K31" s="55" t="s">
        <v>63</v>
      </c>
      <c r="L31" s="60"/>
      <c r="M31" s="60"/>
      <c r="N31" s="60"/>
      <c r="O31" s="60"/>
      <c r="P31" s="60"/>
      <c r="Q31" s="60"/>
      <c r="R31" s="1083">
        <v>9500</v>
      </c>
      <c r="S31" s="1084"/>
      <c r="T31" s="1042" t="s">
        <v>170</v>
      </c>
      <c r="U31" s="1043"/>
      <c r="V31" s="1079">
        <v>300</v>
      </c>
      <c r="W31" s="1080"/>
      <c r="X31" s="1081"/>
      <c r="Y31" s="832">
        <f>R31*V31</f>
        <v>2850000</v>
      </c>
      <c r="Z31" s="833"/>
      <c r="AA31" s="966"/>
      <c r="AB31" s="38"/>
      <c r="AC31" s="165">
        <f>3000*300</f>
        <v>900000</v>
      </c>
      <c r="AD31" s="165">
        <f>2000*300</f>
        <v>600000</v>
      </c>
      <c r="AE31" s="165">
        <f>2000*300</f>
        <v>600000</v>
      </c>
      <c r="AF31" s="165">
        <f>2500*300</f>
        <v>750000</v>
      </c>
      <c r="AG31" s="165">
        <f>SUM(AC31:AF31)</f>
        <v>2850000</v>
      </c>
      <c r="AH31" s="48"/>
    </row>
    <row r="32" spans="1:34" ht="18.75" customHeight="1" x14ac:dyDescent="0.2">
      <c r="A32" s="300"/>
      <c r="B32" s="71"/>
      <c r="C32" s="71"/>
      <c r="D32" s="71"/>
      <c r="E32" s="71"/>
      <c r="F32" s="71"/>
      <c r="G32" s="71"/>
      <c r="H32" s="71"/>
      <c r="I32" s="71"/>
      <c r="J32" s="71"/>
      <c r="K32" s="32"/>
      <c r="L32" s="32"/>
      <c r="M32" s="32"/>
      <c r="N32" s="32"/>
      <c r="O32" s="32"/>
      <c r="P32" s="32"/>
      <c r="Q32" s="32"/>
      <c r="R32" s="882"/>
      <c r="S32" s="882"/>
      <c r="T32" s="883"/>
      <c r="U32" s="883"/>
      <c r="V32" s="884" t="s">
        <v>28</v>
      </c>
      <c r="W32" s="884"/>
      <c r="X32" s="885"/>
      <c r="Y32" s="886">
        <f>Y25</f>
        <v>3975000</v>
      </c>
      <c r="Z32" s="887"/>
      <c r="AA32" s="949"/>
      <c r="AB32" s="138"/>
      <c r="AC32" s="166">
        <f>SUM(AC27:AC31)</f>
        <v>1725000</v>
      </c>
      <c r="AD32" s="166">
        <f>SUM(AD27:AD31)</f>
        <v>600000</v>
      </c>
      <c r="AE32" s="166">
        <f>SUM(AE27:AE31)</f>
        <v>900000</v>
      </c>
      <c r="AF32" s="166">
        <f>SUM(AF27:AF31)</f>
        <v>750000</v>
      </c>
      <c r="AG32" s="166">
        <f>SUM(AG27:AG31)</f>
        <v>3975000</v>
      </c>
    </row>
    <row r="33" spans="1:38" ht="18.75" customHeight="1" x14ac:dyDescent="0.2">
      <c r="A33" s="277"/>
      <c r="B33" s="16" t="s">
        <v>306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67"/>
      <c r="AB33" s="138"/>
      <c r="AC33" s="38"/>
      <c r="AD33" s="169">
        <f>323000/300</f>
        <v>1076.6666666666667</v>
      </c>
      <c r="AE33" s="169"/>
      <c r="AF33" s="38"/>
      <c r="AG33" s="164"/>
    </row>
    <row r="34" spans="1:38" ht="6" customHeight="1" x14ac:dyDescent="0.2">
      <c r="A34" s="278"/>
      <c r="B34" s="13"/>
      <c r="C34" s="13"/>
      <c r="D34" s="13"/>
      <c r="E34" s="13"/>
      <c r="F34" s="13"/>
      <c r="G34" s="13"/>
      <c r="H34" s="27"/>
      <c r="I34" s="13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3"/>
      <c r="V34" s="13"/>
      <c r="W34" s="13"/>
      <c r="X34" s="679"/>
      <c r="Y34" s="13"/>
      <c r="Z34" s="13"/>
      <c r="AA34" s="279"/>
      <c r="AB34" s="138"/>
      <c r="AC34" s="38"/>
      <c r="AD34" s="169"/>
      <c r="AE34" s="169"/>
      <c r="AF34" s="38"/>
      <c r="AG34" s="138"/>
    </row>
    <row r="35" spans="1:38" ht="18.75" customHeight="1" x14ac:dyDescent="0.2">
      <c r="A35" s="278"/>
      <c r="B35" s="13" t="s">
        <v>29</v>
      </c>
      <c r="C35" s="27"/>
      <c r="D35" s="13"/>
      <c r="E35" s="13"/>
      <c r="F35" s="40" t="s">
        <v>89</v>
      </c>
      <c r="G35" s="878">
        <f>AC32</f>
        <v>1725000</v>
      </c>
      <c r="H35" s="878"/>
      <c r="I35" s="878"/>
      <c r="J35" s="878"/>
      <c r="K35" s="13"/>
      <c r="L35" s="13"/>
      <c r="M35" s="13"/>
      <c r="N35" s="13"/>
      <c r="O35" s="28"/>
      <c r="P35" s="28"/>
      <c r="Q35" s="28"/>
      <c r="R35" s="28"/>
      <c r="S35" s="28"/>
      <c r="T35" s="28"/>
      <c r="U35" s="679" t="str">
        <f>ATK!U77</f>
        <v>CAMAT SUKOHARJO</v>
      </c>
      <c r="V35" s="13"/>
      <c r="W35" s="679"/>
      <c r="X35" s="13"/>
      <c r="Y35" s="13"/>
      <c r="Z35" s="13"/>
      <c r="AA35" s="279"/>
      <c r="AB35" s="138"/>
      <c r="AC35" s="38"/>
      <c r="AD35" s="510">
        <f>980000/300</f>
        <v>3266.6666666666665</v>
      </c>
      <c r="AE35" s="169"/>
      <c r="AF35" s="395"/>
      <c r="AG35" s="162"/>
    </row>
    <row r="36" spans="1:38" ht="18.75" customHeight="1" x14ac:dyDescent="0.2">
      <c r="A36" s="278"/>
      <c r="B36" s="13" t="s">
        <v>30</v>
      </c>
      <c r="C36" s="27"/>
      <c r="D36" s="13"/>
      <c r="E36" s="13"/>
      <c r="F36" s="40" t="s">
        <v>89</v>
      </c>
      <c r="G36" s="878">
        <f>AD32</f>
        <v>600000</v>
      </c>
      <c r="H36" s="878"/>
      <c r="I36" s="878"/>
      <c r="J36" s="878"/>
      <c r="K36" s="13"/>
      <c r="L36" s="13"/>
      <c r="M36" s="13"/>
      <c r="N36" s="13"/>
      <c r="O36" s="28"/>
      <c r="P36" s="28"/>
      <c r="Q36" s="28"/>
      <c r="R36" s="28"/>
      <c r="S36" s="28"/>
      <c r="T36" s="28"/>
      <c r="U36" s="679"/>
      <c r="V36" s="13"/>
      <c r="W36" s="679"/>
      <c r="X36" s="13"/>
      <c r="Y36" s="13"/>
      <c r="Z36" s="13"/>
      <c r="AA36" s="279"/>
      <c r="AC36" s="13">
        <f>8000/200</f>
        <v>40</v>
      </c>
      <c r="AD36" s="511">
        <f>R31-3266</f>
        <v>6234</v>
      </c>
      <c r="AE36" s="45"/>
      <c r="AF36" s="13"/>
    </row>
    <row r="37" spans="1:38" ht="18.75" customHeight="1" x14ac:dyDescent="0.2">
      <c r="A37" s="278"/>
      <c r="B37" s="13" t="s">
        <v>31</v>
      </c>
      <c r="C37" s="27"/>
      <c r="D37" s="13"/>
      <c r="E37" s="13"/>
      <c r="F37" s="40" t="s">
        <v>89</v>
      </c>
      <c r="G37" s="878">
        <f>AE32</f>
        <v>900000</v>
      </c>
      <c r="H37" s="878"/>
      <c r="I37" s="878"/>
      <c r="J37" s="878"/>
      <c r="K37" s="13"/>
      <c r="L37" s="13"/>
      <c r="M37" s="13"/>
      <c r="N37" s="13"/>
      <c r="O37" s="28"/>
      <c r="P37" s="28"/>
      <c r="Q37" s="28"/>
      <c r="R37" s="28"/>
      <c r="S37" s="28"/>
      <c r="T37" s="28"/>
      <c r="U37" s="679"/>
      <c r="V37" s="13"/>
      <c r="W37" s="679"/>
      <c r="X37" s="13"/>
      <c r="Y37" s="13"/>
      <c r="Z37" s="13"/>
      <c r="AA37" s="279"/>
      <c r="AC37" s="530">
        <f>R31-AC36</f>
        <v>9460</v>
      </c>
      <c r="AD37" s="13"/>
      <c r="AE37" s="13"/>
      <c r="AF37" s="13"/>
    </row>
    <row r="38" spans="1:38" ht="18.75" customHeight="1" x14ac:dyDescent="0.2">
      <c r="A38" s="278"/>
      <c r="B38" s="13" t="s">
        <v>32</v>
      </c>
      <c r="C38" s="30"/>
      <c r="D38" s="13"/>
      <c r="E38" s="13"/>
      <c r="F38" s="40" t="s">
        <v>89</v>
      </c>
      <c r="G38" s="878">
        <f>AF32</f>
        <v>750000</v>
      </c>
      <c r="H38" s="878"/>
      <c r="I38" s="878"/>
      <c r="J38" s="878"/>
      <c r="K38" s="13"/>
      <c r="L38" s="13"/>
      <c r="M38" s="13"/>
      <c r="N38" s="13"/>
      <c r="O38" s="31"/>
      <c r="P38" s="31"/>
      <c r="Q38" s="31"/>
      <c r="R38" s="31"/>
      <c r="S38" s="31"/>
      <c r="T38" s="31"/>
      <c r="U38" s="679"/>
      <c r="V38" s="13"/>
      <c r="W38" s="52"/>
      <c r="X38" s="13"/>
      <c r="Y38" s="13"/>
      <c r="Z38" s="13"/>
      <c r="AA38" s="279"/>
      <c r="AC38" s="13"/>
      <c r="AD38" s="13"/>
      <c r="AE38" s="13"/>
      <c r="AF38" s="13"/>
    </row>
    <row r="39" spans="1:38" ht="15.75" customHeight="1" thickBot="1" x14ac:dyDescent="0.25">
      <c r="A39" s="278"/>
      <c r="B39" s="13"/>
      <c r="C39" s="62" t="s">
        <v>28</v>
      </c>
      <c r="D39" s="13"/>
      <c r="E39" s="13"/>
      <c r="F39" s="40" t="s">
        <v>89</v>
      </c>
      <c r="G39" s="877">
        <f>SUM(G35:J38)</f>
        <v>3975000</v>
      </c>
      <c r="H39" s="877"/>
      <c r="I39" s="877"/>
      <c r="J39" s="87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52" t="str">
        <f>ATK!U81</f>
        <v>DUDI WARDOYO, AP, M.M</v>
      </c>
      <c r="V39" s="13"/>
      <c r="W39" s="679"/>
      <c r="X39" s="13"/>
      <c r="Y39" s="34"/>
      <c r="Z39" s="34"/>
      <c r="AA39" s="280"/>
      <c r="AC39" s="13"/>
      <c r="AD39" s="13"/>
      <c r="AE39" s="13"/>
      <c r="AF39" s="13"/>
    </row>
    <row r="40" spans="1:38" ht="12.75" customHeight="1" thickTop="1" x14ac:dyDescent="0.2">
      <c r="A40" s="278"/>
      <c r="B40" s="13"/>
      <c r="C40" s="62"/>
      <c r="D40" s="13"/>
      <c r="E40" s="13"/>
      <c r="F40" s="40"/>
      <c r="G40" s="622"/>
      <c r="H40" s="622"/>
      <c r="I40" s="622"/>
      <c r="J40" s="62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679" t="str">
        <f>ATK!U82</f>
        <v>Pembina Tk. I</v>
      </c>
      <c r="V40" s="13"/>
      <c r="W40" s="679"/>
      <c r="X40" s="13"/>
      <c r="Y40" s="34"/>
      <c r="Z40" s="34"/>
      <c r="AA40" s="280"/>
      <c r="AC40" s="13"/>
      <c r="AD40" s="13"/>
      <c r="AE40" s="13"/>
      <c r="AF40" s="13"/>
    </row>
    <row r="41" spans="1:38" ht="12" customHeight="1" x14ac:dyDescent="0.2">
      <c r="A41" s="28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679" t="str">
        <f>ATK!U83</f>
        <v>NIP. 19741009 199311 1 001</v>
      </c>
      <c r="V41" s="10"/>
      <c r="W41" s="679"/>
      <c r="X41" s="10"/>
      <c r="Y41" s="10"/>
      <c r="Z41" s="10"/>
      <c r="AA41" s="282"/>
      <c r="AC41" s="13"/>
      <c r="AD41" s="13"/>
      <c r="AE41" s="13"/>
      <c r="AF41" s="13"/>
    </row>
    <row r="42" spans="1:38" s="138" customFormat="1" ht="18.75" customHeight="1" x14ac:dyDescent="0.2">
      <c r="A42" s="865" t="s">
        <v>194</v>
      </c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519"/>
      <c r="T42" s="520"/>
      <c r="U42" s="520"/>
      <c r="V42" s="520"/>
      <c r="W42" s="520"/>
      <c r="X42" s="520"/>
      <c r="Y42" s="520"/>
      <c r="Z42" s="520"/>
      <c r="AA42" s="521"/>
      <c r="AD42" s="136"/>
      <c r="AG42" s="136"/>
      <c r="AI42" s="136"/>
      <c r="AL42" s="136"/>
    </row>
    <row r="43" spans="1:38" s="138" customFormat="1" ht="3.75" customHeight="1" x14ac:dyDescent="0.2">
      <c r="A43" s="382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516"/>
      <c r="T43" s="151"/>
      <c r="U43" s="151"/>
      <c r="V43" s="151"/>
      <c r="W43" s="151"/>
      <c r="X43" s="151"/>
      <c r="Y43" s="151"/>
      <c r="Z43" s="151"/>
      <c r="AA43" s="518"/>
      <c r="AD43" s="136"/>
      <c r="AG43" s="136"/>
      <c r="AI43" s="136"/>
      <c r="AL43" s="136"/>
    </row>
    <row r="44" spans="1:38" ht="16.5" customHeight="1" x14ac:dyDescent="0.2">
      <c r="A44" s="27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2"/>
      <c r="T44" s="13"/>
      <c r="U44" s="13"/>
      <c r="V44" s="13"/>
      <c r="W44" s="679" t="str">
        <f>ATK!W86</f>
        <v>Wonosobo,        Januari 2019</v>
      </c>
      <c r="X44" s="13"/>
      <c r="Y44" s="13"/>
      <c r="Z44" s="13"/>
      <c r="AA44" s="279"/>
    </row>
    <row r="45" spans="1:38" ht="5.25" customHeight="1" x14ac:dyDescent="0.2">
      <c r="A45" s="27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2"/>
      <c r="T45" s="13"/>
      <c r="U45" s="13"/>
      <c r="V45" s="13"/>
      <c r="W45" s="679"/>
      <c r="X45" s="13"/>
      <c r="Y45" s="13"/>
      <c r="Z45" s="13"/>
      <c r="AA45" s="279"/>
    </row>
    <row r="46" spans="1:38" ht="18.75" customHeight="1" x14ac:dyDescent="0.2">
      <c r="A46" s="283"/>
      <c r="B46" s="26" t="s">
        <v>34</v>
      </c>
      <c r="C46" s="13" t="str">
        <f>ATK!C88</f>
        <v>RIDWAN SETIA N, S.Kom</v>
      </c>
      <c r="D46" s="44"/>
      <c r="E46" s="44"/>
      <c r="F46" s="44"/>
      <c r="G46" s="13"/>
      <c r="H46" s="13"/>
      <c r="I46" s="13"/>
      <c r="J46" s="13"/>
      <c r="K46" s="64" t="s">
        <v>34</v>
      </c>
      <c r="L46" s="47" t="s">
        <v>196</v>
      </c>
      <c r="M46" s="47"/>
      <c r="N46" s="47"/>
      <c r="O46" s="13"/>
      <c r="P46" s="13"/>
      <c r="Q46" s="13"/>
      <c r="R46" s="47"/>
      <c r="S46" s="522"/>
      <c r="T46" s="47"/>
      <c r="U46" s="13"/>
      <c r="V46" s="13"/>
      <c r="W46" s="679" t="s">
        <v>33</v>
      </c>
      <c r="X46" s="13"/>
      <c r="Y46" s="13"/>
      <c r="Z46" s="13"/>
      <c r="AA46" s="279"/>
    </row>
    <row r="47" spans="1:38" ht="18.75" customHeight="1" x14ac:dyDescent="0.2">
      <c r="A47" s="283"/>
      <c r="B47" s="26"/>
      <c r="C47" s="13"/>
      <c r="D47" s="44"/>
      <c r="E47" s="44"/>
      <c r="F47" s="4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2"/>
      <c r="T47" s="13"/>
      <c r="U47" s="13"/>
      <c r="V47" s="13"/>
      <c r="W47" s="679" t="s">
        <v>85</v>
      </c>
      <c r="X47" s="13"/>
      <c r="Y47" s="13"/>
      <c r="Z47" s="13"/>
      <c r="AA47" s="279"/>
    </row>
    <row r="48" spans="1:38" ht="18.75" customHeight="1" x14ac:dyDescent="0.2">
      <c r="A48" s="283"/>
      <c r="B48" s="13"/>
      <c r="C48" s="13"/>
      <c r="D48" s="44"/>
      <c r="E48" s="44"/>
      <c r="F48" s="44"/>
      <c r="G48" s="13"/>
      <c r="H48" s="13"/>
      <c r="I48" s="13"/>
      <c r="J48" s="13"/>
      <c r="K48" s="47"/>
      <c r="L48" s="47"/>
      <c r="M48" s="13"/>
      <c r="N48" s="13"/>
      <c r="O48" s="13"/>
      <c r="P48" s="13"/>
      <c r="Q48" s="13"/>
      <c r="R48" s="47"/>
      <c r="S48" s="522"/>
      <c r="T48" s="47"/>
      <c r="U48" s="13"/>
      <c r="V48" s="13"/>
      <c r="W48" s="65"/>
      <c r="X48" s="13"/>
      <c r="Y48" s="13"/>
      <c r="Z48" s="13"/>
      <c r="AA48" s="279"/>
    </row>
    <row r="49" spans="1:27" ht="18.75" customHeight="1" x14ac:dyDescent="0.2">
      <c r="A49" s="278"/>
      <c r="B49" s="26" t="s">
        <v>35</v>
      </c>
      <c r="C49" s="13" t="str">
        <f>ATK!C91</f>
        <v>SABAR KHOIRI</v>
      </c>
      <c r="D49" s="13"/>
      <c r="E49" s="13"/>
      <c r="F49" s="13"/>
      <c r="G49" s="13"/>
      <c r="H49" s="13"/>
      <c r="I49" s="13"/>
      <c r="J49" s="13"/>
      <c r="K49" s="64" t="s">
        <v>35</v>
      </c>
      <c r="L49" s="47" t="s">
        <v>196</v>
      </c>
      <c r="M49" s="44"/>
      <c r="N49" s="44"/>
      <c r="O49" s="13"/>
      <c r="P49" s="13"/>
      <c r="Q49" s="13"/>
      <c r="R49" s="44"/>
      <c r="S49" s="46"/>
      <c r="T49" s="44"/>
      <c r="U49" s="44"/>
      <c r="V49" s="44"/>
      <c r="W49" s="679"/>
      <c r="X49" s="44"/>
      <c r="Y49" s="44"/>
      <c r="Z49" s="44"/>
      <c r="AA49" s="284"/>
    </row>
    <row r="50" spans="1:27" s="33" customFormat="1" ht="18.75" customHeight="1" x14ac:dyDescent="0.2">
      <c r="A50" s="285"/>
      <c r="B50" s="26"/>
      <c r="C50" s="13"/>
      <c r="D50" s="679"/>
      <c r="E50" s="679"/>
      <c r="F50" s="679"/>
      <c r="G50" s="679"/>
      <c r="H50" s="679"/>
      <c r="I50" s="679"/>
      <c r="J50" s="679"/>
      <c r="K50" s="64"/>
      <c r="L50" s="47"/>
      <c r="M50" s="679"/>
      <c r="N50" s="679"/>
      <c r="O50" s="679"/>
      <c r="P50" s="679"/>
      <c r="Q50" s="679"/>
      <c r="R50" s="679"/>
      <c r="S50" s="36"/>
      <c r="T50" s="679"/>
      <c r="U50" s="66"/>
      <c r="V50" s="66"/>
      <c r="W50" s="52" t="str">
        <f>ATK!W92</f>
        <v>Drs. M. KRISTIJADI, M.Si</v>
      </c>
      <c r="X50" s="66"/>
      <c r="Y50" s="66"/>
      <c r="Z50" s="13"/>
      <c r="AA50" s="279"/>
    </row>
    <row r="51" spans="1:27" s="33" customFormat="1" ht="16.5" customHeight="1" x14ac:dyDescent="0.2">
      <c r="A51" s="285"/>
      <c r="B51" s="26"/>
      <c r="C51" s="13"/>
      <c r="D51" s="679"/>
      <c r="E51" s="679"/>
      <c r="F51" s="679"/>
      <c r="G51" s="679"/>
      <c r="H51" s="679"/>
      <c r="I51" s="64"/>
      <c r="J51" s="47"/>
      <c r="K51" s="679"/>
      <c r="L51" s="679"/>
      <c r="M51" s="679"/>
      <c r="N51" s="679"/>
      <c r="O51" s="679"/>
      <c r="P51" s="679"/>
      <c r="Q51" s="679"/>
      <c r="R51" s="679"/>
      <c r="S51" s="36"/>
      <c r="T51" s="679"/>
      <c r="U51" s="66"/>
      <c r="V51" s="66"/>
      <c r="W51" s="679" t="str">
        <f>ATK!W93</f>
        <v>Pembina Utama Muda</v>
      </c>
      <c r="X51" s="66"/>
      <c r="Y51" s="66"/>
      <c r="Z51" s="13"/>
      <c r="AA51" s="279"/>
    </row>
    <row r="52" spans="1:27" s="33" customFormat="1" ht="18.75" customHeight="1" x14ac:dyDescent="0.2">
      <c r="A52" s="285"/>
      <c r="B52" s="679"/>
      <c r="C52" s="679"/>
      <c r="D52" s="679"/>
      <c r="E52" s="679"/>
      <c r="F52" s="679"/>
      <c r="G52" s="26"/>
      <c r="H52" s="13"/>
      <c r="I52" s="13"/>
      <c r="J52" s="13"/>
      <c r="K52" s="679"/>
      <c r="L52" s="679"/>
      <c r="M52" s="679"/>
      <c r="N52" s="64"/>
      <c r="O52" s="47"/>
      <c r="P52" s="679"/>
      <c r="Q52" s="679"/>
      <c r="R52" s="679"/>
      <c r="S52" s="36"/>
      <c r="T52" s="679"/>
      <c r="U52" s="66"/>
      <c r="V52" s="66"/>
      <c r="W52" s="679" t="str">
        <f>ATK!W94</f>
        <v>NIP. 19681226 199403 1 005</v>
      </c>
      <c r="X52" s="66"/>
      <c r="Y52" s="66"/>
      <c r="Z52" s="13"/>
      <c r="AA52" s="279"/>
    </row>
    <row r="53" spans="1:27" ht="4.5" customHeight="1" thickBot="1" x14ac:dyDescent="0.25">
      <c r="A53" s="286"/>
      <c r="B53" s="287"/>
      <c r="C53" s="287"/>
      <c r="D53" s="287"/>
      <c r="E53" s="287"/>
      <c r="F53" s="287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524"/>
      <c r="T53" s="288"/>
      <c r="U53" s="288"/>
      <c r="V53" s="288"/>
      <c r="W53" s="289"/>
      <c r="X53" s="288"/>
      <c r="Y53" s="288"/>
      <c r="Z53" s="288"/>
      <c r="AA53" s="290"/>
    </row>
    <row r="54" spans="1:27" ht="17.25" thickTop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</sheetData>
  <mergeCells count="74">
    <mergeCell ref="Y32:AA32"/>
    <mergeCell ref="Y30:AA30"/>
    <mergeCell ref="T29:U29"/>
    <mergeCell ref="V26:X26"/>
    <mergeCell ref="R26:S26"/>
    <mergeCell ref="T26:U26"/>
    <mergeCell ref="Y31:AA31"/>
    <mergeCell ref="T31:U31"/>
    <mergeCell ref="V27:X27"/>
    <mergeCell ref="Y27:AA27"/>
    <mergeCell ref="R27:S27"/>
    <mergeCell ref="R30:S30"/>
    <mergeCell ref="T27:U27"/>
    <mergeCell ref="T30:U30"/>
    <mergeCell ref="Y29:AA29"/>
    <mergeCell ref="R28:S28"/>
    <mergeCell ref="T28:U28"/>
    <mergeCell ref="V28:X28"/>
    <mergeCell ref="Y28:AA28"/>
    <mergeCell ref="AD26:AG26"/>
    <mergeCell ref="Y25:AA25"/>
    <mergeCell ref="Y26:AA26"/>
    <mergeCell ref="Y23:AA23"/>
    <mergeCell ref="AD24:AE24"/>
    <mergeCell ref="R24:S24"/>
    <mergeCell ref="T24:U24"/>
    <mergeCell ref="V25:X25"/>
    <mergeCell ref="T25:U25"/>
    <mergeCell ref="V24:X24"/>
    <mergeCell ref="R23:S23"/>
    <mergeCell ref="R25:S25"/>
    <mergeCell ref="Y24:AA24"/>
    <mergeCell ref="Y16:AA16"/>
    <mergeCell ref="A12:AA12"/>
    <mergeCell ref="A21:J22"/>
    <mergeCell ref="Y15:AA15"/>
    <mergeCell ref="Y17:AA17"/>
    <mergeCell ref="R22:S22"/>
    <mergeCell ref="A20:AA20"/>
    <mergeCell ref="G13:X13"/>
    <mergeCell ref="Y13:AA13"/>
    <mergeCell ref="A19:AA19"/>
    <mergeCell ref="T22:U22"/>
    <mergeCell ref="R21:X21"/>
    <mergeCell ref="R1:X1"/>
    <mergeCell ref="A4:AA4"/>
    <mergeCell ref="Y14:AA14"/>
    <mergeCell ref="V23:X23"/>
    <mergeCell ref="V22:X22"/>
    <mergeCell ref="A1:Q1"/>
    <mergeCell ref="Y1:AA2"/>
    <mergeCell ref="A2:Q2"/>
    <mergeCell ref="A13:F13"/>
    <mergeCell ref="K23:Q23"/>
    <mergeCell ref="A3:AA3"/>
    <mergeCell ref="K21:Q22"/>
    <mergeCell ref="A23:J23"/>
    <mergeCell ref="T23:U23"/>
    <mergeCell ref="M5:AA5"/>
    <mergeCell ref="Y21:AA22"/>
    <mergeCell ref="A42:R42"/>
    <mergeCell ref="V32:X32"/>
    <mergeCell ref="V30:X30"/>
    <mergeCell ref="V29:X29"/>
    <mergeCell ref="G39:J39"/>
    <mergeCell ref="G38:J38"/>
    <mergeCell ref="G37:J37"/>
    <mergeCell ref="R32:S32"/>
    <mergeCell ref="R29:S29"/>
    <mergeCell ref="G36:J36"/>
    <mergeCell ref="G35:J35"/>
    <mergeCell ref="R31:S31"/>
    <mergeCell ref="T32:U32"/>
    <mergeCell ref="V31:X31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61"/>
  <sheetViews>
    <sheetView showGridLines="0" view="pageBreakPreview" topLeftCell="A23" zoomScale="90" zoomScaleSheetLayoutView="90" workbookViewId="0">
      <selection activeCell="AD33" sqref="AD33"/>
    </sheetView>
  </sheetViews>
  <sheetFormatPr defaultColWidth="4.42578125" defaultRowHeight="16.5" x14ac:dyDescent="0.2"/>
  <cols>
    <col min="1" max="8" width="3.7109375" style="15" customWidth="1"/>
    <col min="9" max="9" width="4.140625" style="15" customWidth="1"/>
    <col min="10" max="10" width="3.7109375" style="15" customWidth="1"/>
    <col min="11" max="11" width="3.5703125" style="15" customWidth="1"/>
    <col min="12" max="22" width="4.42578125" style="15"/>
    <col min="23" max="23" width="3.7109375" style="15" customWidth="1"/>
    <col min="24" max="28" width="4.42578125" style="15"/>
    <col min="29" max="29" width="15" style="15" customWidth="1"/>
    <col min="30" max="30" width="11.85546875" style="15" customWidth="1"/>
    <col min="31" max="31" width="9.85546875" style="15" customWidth="1"/>
    <col min="32" max="32" width="11.28515625" style="15" customWidth="1"/>
    <col min="33" max="33" width="10.28515625" style="15" customWidth="1"/>
    <col min="34" max="16384" width="4.42578125" style="15"/>
  </cols>
  <sheetData>
    <row r="1" spans="1:33" ht="24.7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3" ht="21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tr">
        <f>K8</f>
        <v>01</v>
      </c>
      <c r="V2" s="56" t="str">
        <f>L8</f>
        <v>12</v>
      </c>
      <c r="W2" s="56" t="s">
        <v>40</v>
      </c>
      <c r="X2" s="56" t="s">
        <v>41</v>
      </c>
      <c r="Y2" s="777"/>
      <c r="Z2" s="778"/>
      <c r="AA2" s="779"/>
    </row>
    <row r="3" spans="1:33" ht="1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3" ht="16.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3" ht="20.25" customHeight="1" x14ac:dyDescent="0.2">
      <c r="A5" s="266" t="s">
        <v>18</v>
      </c>
      <c r="B5" s="558"/>
      <c r="C5" s="558"/>
      <c r="D5" s="558"/>
      <c r="E5" s="558"/>
      <c r="F5" s="558"/>
      <c r="G5" s="14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3" ht="18.600000000000001" customHeight="1" x14ac:dyDescent="0.2">
      <c r="A6" s="266" t="s">
        <v>19</v>
      </c>
      <c r="B6" s="119"/>
      <c r="C6" s="119"/>
      <c r="D6" s="119"/>
      <c r="E6" s="119"/>
      <c r="F6" s="119"/>
      <c r="G6" s="14" t="s">
        <v>89</v>
      </c>
      <c r="H6" s="61" t="s">
        <v>325</v>
      </c>
      <c r="I6" s="61"/>
      <c r="J6" s="61"/>
      <c r="K6" s="61"/>
      <c r="L6" s="61"/>
      <c r="M6" s="16" t="s">
        <v>178</v>
      </c>
      <c r="N6" s="61"/>
      <c r="O6" s="61"/>
      <c r="P6" s="61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3" ht="18.600000000000001" customHeight="1" x14ac:dyDescent="0.2">
      <c r="A7" s="266" t="s">
        <v>20</v>
      </c>
      <c r="B7" s="119"/>
      <c r="C7" s="119"/>
      <c r="D7" s="119"/>
      <c r="E7" s="119"/>
      <c r="F7" s="119"/>
      <c r="G7" s="14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61"/>
      <c r="O7" s="61"/>
      <c r="P7" s="61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3" ht="18.600000000000001" customHeight="1" x14ac:dyDescent="0.2">
      <c r="A8" s="268" t="s">
        <v>21</v>
      </c>
      <c r="B8" s="120"/>
      <c r="C8" s="120"/>
      <c r="D8" s="120"/>
      <c r="E8" s="120"/>
      <c r="F8" s="120"/>
      <c r="G8" s="14" t="s">
        <v>89</v>
      </c>
      <c r="H8" s="61" t="s">
        <v>328</v>
      </c>
      <c r="I8" s="61"/>
      <c r="J8" s="61"/>
      <c r="K8" s="61" t="s">
        <v>44</v>
      </c>
      <c r="L8" s="61" t="s">
        <v>93</v>
      </c>
      <c r="M8" s="16" t="s">
        <v>203</v>
      </c>
      <c r="N8" s="61"/>
      <c r="O8" s="61"/>
      <c r="P8" s="61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3" ht="18.600000000000001" customHeight="1" x14ac:dyDescent="0.2">
      <c r="A9" s="268" t="s">
        <v>22</v>
      </c>
      <c r="B9" s="120"/>
      <c r="C9" s="120"/>
      <c r="D9" s="120"/>
      <c r="E9" s="120"/>
      <c r="F9" s="120"/>
      <c r="G9" s="14" t="s">
        <v>89</v>
      </c>
      <c r="H9" s="18" t="s">
        <v>384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9"/>
      <c r="AC9" s="48"/>
      <c r="AD9" s="48"/>
      <c r="AE9" s="48"/>
      <c r="AF9" s="48"/>
      <c r="AG9" s="48"/>
    </row>
    <row r="10" spans="1:33" ht="18.600000000000001" customHeight="1" x14ac:dyDescent="0.2">
      <c r="A10" s="268" t="s">
        <v>23</v>
      </c>
      <c r="B10" s="120"/>
      <c r="C10" s="120"/>
      <c r="D10" s="120"/>
      <c r="E10" s="120"/>
      <c r="F10" s="120"/>
      <c r="G10" s="14" t="s">
        <v>89</v>
      </c>
      <c r="H10" s="18" t="s">
        <v>178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269"/>
      <c r="AC10" s="48"/>
      <c r="AD10" s="48">
        <f>SUM(AD11:AD14)</f>
        <v>11</v>
      </c>
      <c r="AE10" s="48"/>
      <c r="AF10" s="48">
        <f t="shared" ref="AF10" si="0">SUM(AF11:AF14)</f>
        <v>11</v>
      </c>
      <c r="AG10" s="48"/>
    </row>
    <row r="11" spans="1:33" ht="18.600000000000001" customHeight="1" x14ac:dyDescent="0.2">
      <c r="A11" s="268" t="s">
        <v>24</v>
      </c>
      <c r="B11" s="120"/>
      <c r="C11" s="120"/>
      <c r="D11" s="120"/>
      <c r="E11" s="120"/>
      <c r="F11" s="120"/>
      <c r="G11" s="14" t="s">
        <v>89</v>
      </c>
      <c r="H11" s="18" t="s">
        <v>385</v>
      </c>
      <c r="I11" s="20"/>
      <c r="J11" s="20"/>
      <c r="K11" s="20"/>
      <c r="L11" s="20"/>
      <c r="M11" s="18"/>
      <c r="N11" s="20"/>
      <c r="O11" s="20"/>
      <c r="P11" s="20"/>
      <c r="Q11" s="18"/>
      <c r="R11" s="18"/>
      <c r="S11" s="18"/>
      <c r="T11" s="18"/>
      <c r="U11" s="18"/>
      <c r="V11" s="16"/>
      <c r="W11" s="16"/>
      <c r="X11" s="16"/>
      <c r="Y11" s="16"/>
      <c r="Z11" s="16"/>
      <c r="AA11" s="267"/>
      <c r="AC11" s="48">
        <f>SUM(AD11:AF11)</f>
        <v>7</v>
      </c>
      <c r="AD11" s="669">
        <v>2</v>
      </c>
      <c r="AE11" s="669">
        <v>4</v>
      </c>
      <c r="AF11" s="669">
        <v>1</v>
      </c>
      <c r="AG11" s="48"/>
    </row>
    <row r="12" spans="1:33" ht="18.600000000000001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C12" s="48"/>
      <c r="AD12" s="1106">
        <v>6</v>
      </c>
      <c r="AE12" s="1104"/>
      <c r="AF12" s="1106">
        <v>6</v>
      </c>
      <c r="AG12" s="48"/>
    </row>
    <row r="13" spans="1:33" ht="18.600000000000001" customHeight="1" x14ac:dyDescent="0.2">
      <c r="A13" s="941" t="s">
        <v>9</v>
      </c>
      <c r="B13" s="914"/>
      <c r="C13" s="914"/>
      <c r="D13" s="914"/>
      <c r="E13" s="914"/>
      <c r="F13" s="915"/>
      <c r="G13" s="913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  <c r="AC13" s="48"/>
      <c r="AD13" s="1107"/>
      <c r="AE13" s="1105"/>
      <c r="AF13" s="1107"/>
      <c r="AG13" s="48"/>
    </row>
    <row r="14" spans="1:33" ht="18.600000000000001" customHeight="1" x14ac:dyDescent="0.2">
      <c r="A14" s="266" t="s">
        <v>14</v>
      </c>
      <c r="B14" s="119"/>
      <c r="C14" s="119"/>
      <c r="D14" s="119"/>
      <c r="E14" s="119"/>
      <c r="F14" s="122"/>
      <c r="G14" s="21" t="s">
        <v>133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C14" s="48">
        <f t="shared" ref="AC14" si="1">SUM(AD14:AF14)</f>
        <v>11</v>
      </c>
      <c r="AD14" s="670">
        <v>3</v>
      </c>
      <c r="AE14" s="671">
        <v>4</v>
      </c>
      <c r="AF14" s="670">
        <v>4</v>
      </c>
      <c r="AG14" s="800"/>
    </row>
    <row r="15" spans="1:33" ht="18.600000000000001" customHeight="1" x14ac:dyDescent="0.2">
      <c r="A15" s="266" t="s">
        <v>15</v>
      </c>
      <c r="B15" s="119"/>
      <c r="C15" s="119"/>
      <c r="D15" s="119"/>
      <c r="E15" s="119"/>
      <c r="F15" s="122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1523500</v>
      </c>
      <c r="Z15" s="892"/>
      <c r="AA15" s="893"/>
      <c r="AC15" s="48"/>
      <c r="AD15" s="672"/>
      <c r="AE15" s="672"/>
      <c r="AF15" s="672"/>
      <c r="AG15" s="800"/>
    </row>
    <row r="16" spans="1:33" ht="16.5" customHeight="1" x14ac:dyDescent="0.2">
      <c r="A16" s="266" t="s">
        <v>16</v>
      </c>
      <c r="B16" s="119"/>
      <c r="C16" s="119"/>
      <c r="D16" s="119"/>
      <c r="E16" s="119"/>
      <c r="F16" s="122"/>
      <c r="G16" s="21" t="s">
        <v>134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  <c r="AC16" s="48"/>
      <c r="AD16" s="45"/>
      <c r="AE16" s="45"/>
      <c r="AF16" s="45"/>
      <c r="AG16" s="45"/>
    </row>
    <row r="17" spans="1:33" ht="15.75" customHeight="1" x14ac:dyDescent="0.2">
      <c r="A17" s="266" t="s">
        <v>17</v>
      </c>
      <c r="B17" s="119"/>
      <c r="C17" s="119"/>
      <c r="D17" s="119"/>
      <c r="E17" s="119"/>
      <c r="F17" s="122"/>
      <c r="G17" s="21" t="s">
        <v>135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D17" s="13"/>
      <c r="AE17" s="530"/>
      <c r="AF17" s="13"/>
      <c r="AG17" s="13"/>
    </row>
    <row r="18" spans="1:33" ht="17.25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E18" s="51"/>
    </row>
    <row r="19" spans="1:33" ht="1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3" ht="12.7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  <c r="AF20" s="48">
        <f>SUM(AD11:AF14)</f>
        <v>30</v>
      </c>
    </row>
    <row r="21" spans="1:33" ht="16.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3" ht="14.2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3" ht="1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3" ht="18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93</v>
      </c>
      <c r="F24" s="22" t="s">
        <v>40</v>
      </c>
      <c r="G24" s="22" t="s">
        <v>41</v>
      </c>
      <c r="H24" s="22" t="s">
        <v>41</v>
      </c>
      <c r="I24" s="22"/>
      <c r="J24" s="22"/>
      <c r="K24" s="53" t="s">
        <v>86</v>
      </c>
      <c r="L24" s="58"/>
      <c r="M24" s="58"/>
      <c r="N24" s="58"/>
      <c r="O24" s="58"/>
      <c r="P24" s="58"/>
      <c r="Q24" s="58"/>
      <c r="R24" s="942"/>
      <c r="S24" s="943"/>
      <c r="T24" s="942"/>
      <c r="U24" s="943"/>
      <c r="V24" s="942"/>
      <c r="W24" s="947"/>
      <c r="X24" s="943"/>
      <c r="Y24" s="917">
        <f>Y25</f>
        <v>1523500</v>
      </c>
      <c r="Z24" s="918"/>
      <c r="AA24" s="948"/>
    </row>
    <row r="25" spans="1:33" ht="18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93</v>
      </c>
      <c r="F25" s="22" t="s">
        <v>40</v>
      </c>
      <c r="G25" s="22" t="s">
        <v>41</v>
      </c>
      <c r="H25" s="22" t="s">
        <v>41</v>
      </c>
      <c r="I25" s="23" t="s">
        <v>44</v>
      </c>
      <c r="J25" s="23"/>
      <c r="K25" s="79" t="s">
        <v>39</v>
      </c>
      <c r="L25" s="59"/>
      <c r="M25" s="59"/>
      <c r="N25" s="59"/>
      <c r="O25" s="59"/>
      <c r="P25" s="59"/>
      <c r="Q25" s="59"/>
      <c r="R25" s="875"/>
      <c r="S25" s="876"/>
      <c r="T25" s="875"/>
      <c r="U25" s="876"/>
      <c r="V25" s="875"/>
      <c r="W25" s="946"/>
      <c r="X25" s="876"/>
      <c r="Y25" s="917">
        <f>Y26</f>
        <v>1523500</v>
      </c>
      <c r="Z25" s="918"/>
      <c r="AA25" s="948"/>
      <c r="AE25" s="48"/>
    </row>
    <row r="26" spans="1:33" ht="18" customHeight="1" x14ac:dyDescent="0.3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93</v>
      </c>
      <c r="F26" s="25" t="s">
        <v>40</v>
      </c>
      <c r="G26" s="25" t="s">
        <v>41</v>
      </c>
      <c r="H26" s="25" t="s">
        <v>41</v>
      </c>
      <c r="I26" s="25" t="s">
        <v>44</v>
      </c>
      <c r="J26" s="25" t="s">
        <v>42</v>
      </c>
      <c r="K26" s="80" t="s">
        <v>289</v>
      </c>
      <c r="L26" s="57"/>
      <c r="M26" s="57"/>
      <c r="N26" s="57"/>
      <c r="O26" s="57"/>
      <c r="P26" s="57"/>
      <c r="Q26" s="57"/>
      <c r="R26" s="944"/>
      <c r="S26" s="945"/>
      <c r="T26" s="928"/>
      <c r="U26" s="929"/>
      <c r="V26" s="928"/>
      <c r="W26" s="1103"/>
      <c r="X26" s="929"/>
      <c r="Y26" s="870">
        <f>SUM(Y28:AA34)</f>
        <v>1523500</v>
      </c>
      <c r="Z26" s="871"/>
      <c r="AA26" s="930"/>
      <c r="AB26" s="138"/>
      <c r="AC26" s="138"/>
      <c r="AD26" s="800"/>
      <c r="AE26" s="801"/>
      <c r="AF26" s="801"/>
      <c r="AG26" s="801"/>
    </row>
    <row r="27" spans="1:33" ht="18" customHeight="1" x14ac:dyDescent="0.3">
      <c r="A27" s="271"/>
      <c r="B27" s="25"/>
      <c r="C27" s="25"/>
      <c r="D27" s="74"/>
      <c r="E27" s="74"/>
      <c r="F27" s="25"/>
      <c r="G27" s="25"/>
      <c r="H27" s="25"/>
      <c r="I27" s="25"/>
      <c r="J27" s="25"/>
      <c r="K27" s="201" t="s">
        <v>290</v>
      </c>
      <c r="L27" s="202"/>
      <c r="M27" s="202"/>
      <c r="N27" s="202"/>
      <c r="O27" s="202"/>
      <c r="P27" s="202"/>
      <c r="Q27" s="202"/>
      <c r="R27" s="660"/>
      <c r="S27" s="657"/>
      <c r="T27" s="651"/>
      <c r="U27" s="652"/>
      <c r="V27" s="651"/>
      <c r="W27" s="653"/>
      <c r="X27" s="652"/>
      <c r="Y27" s="638"/>
      <c r="Z27" s="639"/>
      <c r="AA27" s="654"/>
      <c r="AB27" s="138"/>
      <c r="AC27" s="165">
        <f>Y27</f>
        <v>0</v>
      </c>
      <c r="AD27" s="41"/>
      <c r="AE27" s="41"/>
      <c r="AF27" s="41"/>
      <c r="AG27" s="41">
        <f t="shared" ref="AG27:AG35" si="2">SUM(AC27:AF27)</f>
        <v>0</v>
      </c>
    </row>
    <row r="28" spans="1:33" ht="18" customHeight="1" x14ac:dyDescent="0.3">
      <c r="A28" s="271"/>
      <c r="B28" s="25"/>
      <c r="C28" s="25"/>
      <c r="D28" s="74"/>
      <c r="E28" s="74"/>
      <c r="F28" s="25"/>
      <c r="G28" s="25"/>
      <c r="H28" s="25"/>
      <c r="I28" s="25"/>
      <c r="J28" s="25"/>
      <c r="K28" s="146" t="s">
        <v>313</v>
      </c>
      <c r="L28" s="147"/>
      <c r="M28" s="147"/>
      <c r="N28" s="147"/>
      <c r="O28" s="147"/>
      <c r="P28" s="147"/>
      <c r="Q28" s="203"/>
      <c r="R28" s="983">
        <v>77</v>
      </c>
      <c r="S28" s="984"/>
      <c r="T28" s="983" t="s">
        <v>118</v>
      </c>
      <c r="U28" s="984"/>
      <c r="V28" s="979">
        <v>7500</v>
      </c>
      <c r="W28" s="980"/>
      <c r="X28" s="981"/>
      <c r="Y28" s="832">
        <f t="shared" ref="Y28:Y33" si="3">V28*R28</f>
        <v>577500</v>
      </c>
      <c r="Z28" s="833"/>
      <c r="AA28" s="966"/>
      <c r="AB28" s="138"/>
      <c r="AC28" s="165">
        <f>27*V28</f>
        <v>202500</v>
      </c>
      <c r="AD28" s="165">
        <f>V28*25</f>
        <v>187500</v>
      </c>
      <c r="AE28" s="165">
        <f>25*V28</f>
        <v>187500</v>
      </c>
      <c r="AF28" s="41"/>
      <c r="AG28" s="41">
        <f>SUM(AC28:AF28)</f>
        <v>577500</v>
      </c>
    </row>
    <row r="29" spans="1:33" ht="18" customHeight="1" x14ac:dyDescent="0.3">
      <c r="A29" s="271"/>
      <c r="B29" s="25"/>
      <c r="C29" s="25"/>
      <c r="D29" s="25"/>
      <c r="E29" s="25"/>
      <c r="F29" s="25"/>
      <c r="G29" s="25"/>
      <c r="H29" s="25"/>
      <c r="I29" s="25"/>
      <c r="J29" s="25"/>
      <c r="K29" s="146" t="s">
        <v>312</v>
      </c>
      <c r="L29" s="159"/>
      <c r="M29" s="159"/>
      <c r="N29" s="159"/>
      <c r="O29" s="159"/>
      <c r="P29" s="159"/>
      <c r="Q29" s="204"/>
      <c r="R29" s="983">
        <v>6</v>
      </c>
      <c r="S29" s="984"/>
      <c r="T29" s="983" t="s">
        <v>46</v>
      </c>
      <c r="U29" s="984"/>
      <c r="V29" s="979">
        <v>45000</v>
      </c>
      <c r="W29" s="980"/>
      <c r="X29" s="981"/>
      <c r="Y29" s="832">
        <f t="shared" si="3"/>
        <v>270000</v>
      </c>
      <c r="Z29" s="833"/>
      <c r="AA29" s="966"/>
      <c r="AB29" s="138"/>
      <c r="AC29" s="165">
        <f>V29*2</f>
        <v>90000</v>
      </c>
      <c r="AD29" s="165">
        <f>V29*1</f>
        <v>45000</v>
      </c>
      <c r="AE29" s="165">
        <f>V29*3</f>
        <v>135000</v>
      </c>
      <c r="AF29" s="41"/>
      <c r="AG29" s="41">
        <f>SUM(AC29:AF29)</f>
        <v>270000</v>
      </c>
    </row>
    <row r="30" spans="1:33" ht="15.75" customHeight="1" x14ac:dyDescent="0.3">
      <c r="A30" s="271"/>
      <c r="B30" s="25"/>
      <c r="C30" s="25"/>
      <c r="D30" s="25"/>
      <c r="E30" s="25"/>
      <c r="F30" s="25"/>
      <c r="G30" s="25"/>
      <c r="H30" s="25"/>
      <c r="I30" s="25"/>
      <c r="J30" s="25"/>
      <c r="K30" s="146" t="s">
        <v>351</v>
      </c>
      <c r="L30" s="159"/>
      <c r="M30" s="159"/>
      <c r="N30" s="159"/>
      <c r="O30" s="159"/>
      <c r="P30" s="159"/>
      <c r="Q30" s="204"/>
      <c r="R30" s="983">
        <v>6</v>
      </c>
      <c r="S30" s="984"/>
      <c r="T30" s="983" t="s">
        <v>46</v>
      </c>
      <c r="U30" s="984"/>
      <c r="V30" s="979">
        <v>34000</v>
      </c>
      <c r="W30" s="980"/>
      <c r="X30" s="981"/>
      <c r="Y30" s="832">
        <f t="shared" si="3"/>
        <v>204000</v>
      </c>
      <c r="Z30" s="833"/>
      <c r="AA30" s="966"/>
      <c r="AB30" s="199"/>
      <c r="AC30" s="165">
        <f>V30*2</f>
        <v>68000</v>
      </c>
      <c r="AD30" s="165">
        <f>V30*1</f>
        <v>34000</v>
      </c>
      <c r="AE30" s="165">
        <f>V30*3</f>
        <v>102000</v>
      </c>
      <c r="AF30" s="41"/>
      <c r="AG30" s="41">
        <f>SUM(AC30:AF30)</f>
        <v>204000</v>
      </c>
    </row>
    <row r="31" spans="1:33" ht="15.75" customHeight="1" x14ac:dyDescent="0.3">
      <c r="A31" s="271"/>
      <c r="B31" s="25"/>
      <c r="C31" s="25"/>
      <c r="D31" s="25"/>
      <c r="E31" s="25"/>
      <c r="F31" s="25"/>
      <c r="G31" s="25"/>
      <c r="H31" s="25"/>
      <c r="I31" s="25"/>
      <c r="J31" s="25"/>
      <c r="K31" s="146" t="s">
        <v>350</v>
      </c>
      <c r="L31" s="159"/>
      <c r="M31" s="159"/>
      <c r="N31" s="159"/>
      <c r="O31" s="159"/>
      <c r="P31" s="159"/>
      <c r="Q31" s="204"/>
      <c r="R31" s="983">
        <v>6</v>
      </c>
      <c r="S31" s="984"/>
      <c r="T31" s="983" t="s">
        <v>46</v>
      </c>
      <c r="U31" s="984"/>
      <c r="V31" s="979">
        <v>40000</v>
      </c>
      <c r="W31" s="980"/>
      <c r="X31" s="981"/>
      <c r="Y31" s="832">
        <f t="shared" si="3"/>
        <v>240000</v>
      </c>
      <c r="Z31" s="833"/>
      <c r="AA31" s="966"/>
      <c r="AB31" s="199"/>
      <c r="AC31" s="165">
        <f>V31*2</f>
        <v>80000</v>
      </c>
      <c r="AD31" s="165">
        <f>V31*1</f>
        <v>40000</v>
      </c>
      <c r="AE31" s="165">
        <f>V31*3</f>
        <v>120000</v>
      </c>
      <c r="AF31" s="41"/>
      <c r="AG31" s="41">
        <f>SUM(AC31:AF31)</f>
        <v>240000</v>
      </c>
    </row>
    <row r="32" spans="1:33" ht="18" customHeight="1" x14ac:dyDescent="0.3">
      <c r="A32" s="271"/>
      <c r="B32" s="25"/>
      <c r="C32" s="25"/>
      <c r="D32" s="25"/>
      <c r="E32" s="25"/>
      <c r="F32" s="25"/>
      <c r="G32" s="25"/>
      <c r="H32" s="25"/>
      <c r="I32" s="25"/>
      <c r="J32" s="25"/>
      <c r="K32" s="146" t="s">
        <v>301</v>
      </c>
      <c r="L32" s="159"/>
      <c r="M32" s="159"/>
      <c r="N32" s="159"/>
      <c r="O32" s="159"/>
      <c r="P32" s="159"/>
      <c r="Q32" s="204"/>
      <c r="R32" s="983">
        <v>2</v>
      </c>
      <c r="S32" s="984"/>
      <c r="T32" s="983" t="s">
        <v>46</v>
      </c>
      <c r="U32" s="984"/>
      <c r="V32" s="979">
        <v>55000</v>
      </c>
      <c r="W32" s="980"/>
      <c r="X32" s="981"/>
      <c r="Y32" s="832">
        <f t="shared" si="3"/>
        <v>110000</v>
      </c>
      <c r="Z32" s="833"/>
      <c r="AA32" s="966"/>
      <c r="AB32" s="138"/>
      <c r="AC32" s="165">
        <f>V32*1</f>
        <v>55000</v>
      </c>
      <c r="AD32" s="165">
        <f>V32*1</f>
        <v>55000</v>
      </c>
      <c r="AE32" s="165"/>
      <c r="AF32" s="41"/>
      <c r="AG32" s="41">
        <f t="shared" si="2"/>
        <v>110000</v>
      </c>
    </row>
    <row r="33" spans="1:38" ht="15.75" customHeight="1" x14ac:dyDescent="0.3">
      <c r="A33" s="271"/>
      <c r="B33" s="25"/>
      <c r="C33" s="25"/>
      <c r="D33" s="25"/>
      <c r="E33" s="25"/>
      <c r="F33" s="25"/>
      <c r="G33" s="25"/>
      <c r="H33" s="25"/>
      <c r="I33" s="25"/>
      <c r="J33" s="25"/>
      <c r="K33" s="146" t="s">
        <v>405</v>
      </c>
      <c r="L33" s="159"/>
      <c r="M33" s="159"/>
      <c r="N33" s="159"/>
      <c r="O33" s="159"/>
      <c r="P33" s="159"/>
      <c r="Q33" s="204"/>
      <c r="R33" s="1101">
        <v>4</v>
      </c>
      <c r="S33" s="1102"/>
      <c r="T33" s="983" t="s">
        <v>46</v>
      </c>
      <c r="U33" s="984"/>
      <c r="V33" s="979">
        <v>30500</v>
      </c>
      <c r="W33" s="980"/>
      <c r="X33" s="981"/>
      <c r="Y33" s="832">
        <f t="shared" si="3"/>
        <v>122000</v>
      </c>
      <c r="Z33" s="833"/>
      <c r="AA33" s="966"/>
      <c r="AC33" s="165">
        <f>V33*2</f>
        <v>61000</v>
      </c>
      <c r="AD33" s="165">
        <f>V33*1</f>
        <v>30500</v>
      </c>
      <c r="AE33" s="165">
        <f>V33*1</f>
        <v>30500</v>
      </c>
      <c r="AF33" s="165"/>
      <c r="AG33" s="41">
        <f t="shared" si="2"/>
        <v>122000</v>
      </c>
    </row>
    <row r="34" spans="1:38" ht="18" customHeight="1" x14ac:dyDescent="0.3">
      <c r="A34" s="271"/>
      <c r="B34" s="25"/>
      <c r="C34" s="25"/>
      <c r="D34" s="25"/>
      <c r="E34" s="25"/>
      <c r="F34" s="25"/>
      <c r="G34" s="25"/>
      <c r="H34" s="25"/>
      <c r="I34" s="25"/>
      <c r="J34" s="25"/>
      <c r="K34" s="146"/>
      <c r="L34" s="159"/>
      <c r="M34" s="159"/>
      <c r="N34" s="159"/>
      <c r="O34" s="528"/>
      <c r="P34" s="528"/>
      <c r="Q34" s="529"/>
      <c r="R34" s="1091"/>
      <c r="S34" s="1092"/>
      <c r="T34" s="1065"/>
      <c r="U34" s="1066"/>
      <c r="V34" s="1098"/>
      <c r="W34" s="1099"/>
      <c r="X34" s="1100"/>
      <c r="Y34" s="1088"/>
      <c r="Z34" s="1089"/>
      <c r="AA34" s="1090"/>
      <c r="AC34" s="167"/>
      <c r="AD34" s="43"/>
      <c r="AE34" s="43"/>
      <c r="AF34" s="43"/>
      <c r="AG34" s="41"/>
    </row>
    <row r="35" spans="1:38" ht="16.5" customHeight="1" x14ac:dyDescent="0.2">
      <c r="A35" s="300"/>
      <c r="B35" s="71"/>
      <c r="C35" s="71"/>
      <c r="D35" s="71"/>
      <c r="E35" s="71"/>
      <c r="F35" s="71"/>
      <c r="G35" s="71"/>
      <c r="H35" s="71"/>
      <c r="I35" s="71"/>
      <c r="J35" s="71"/>
      <c r="K35" s="32"/>
      <c r="L35" s="32"/>
      <c r="M35" s="32"/>
      <c r="N35" s="32"/>
      <c r="O35" s="49"/>
      <c r="P35" s="49"/>
      <c r="Q35" s="49"/>
      <c r="R35" s="1094"/>
      <c r="S35" s="1094"/>
      <c r="T35" s="1093"/>
      <c r="U35" s="1093"/>
      <c r="V35" s="1086" t="s">
        <v>28</v>
      </c>
      <c r="W35" s="1086"/>
      <c r="X35" s="1087"/>
      <c r="Y35" s="1095">
        <f>SUM(Y28:AA34)</f>
        <v>1523500</v>
      </c>
      <c r="Z35" s="1096"/>
      <c r="AA35" s="1097"/>
      <c r="AC35" s="168">
        <f>SUM(AC28:AC34)</f>
        <v>556500</v>
      </c>
      <c r="AD35" s="168">
        <f>SUM(AD28:AD34)</f>
        <v>392000</v>
      </c>
      <c r="AE35" s="168">
        <f>SUM(AE28:AE34)</f>
        <v>575000</v>
      </c>
      <c r="AF35" s="168">
        <f>SUM(AF28:AF34)</f>
        <v>0</v>
      </c>
      <c r="AG35" s="39">
        <f t="shared" si="2"/>
        <v>1523500</v>
      </c>
    </row>
    <row r="36" spans="1:38" ht="15.75" customHeight="1" x14ac:dyDescent="0.2">
      <c r="A36" s="277"/>
      <c r="B36" s="16" t="s">
        <v>306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8"/>
      <c r="S36" s="18"/>
      <c r="T36" s="18"/>
      <c r="U36" s="18"/>
      <c r="V36" s="18"/>
      <c r="W36" s="18"/>
      <c r="X36" s="18"/>
      <c r="Y36" s="18"/>
      <c r="Z36" s="18"/>
      <c r="AA36" s="269"/>
    </row>
    <row r="37" spans="1:38" ht="5.25" customHeight="1" x14ac:dyDescent="0.2">
      <c r="A37" s="278"/>
      <c r="B37" s="13"/>
      <c r="C37" s="13"/>
      <c r="D37" s="13"/>
      <c r="E37" s="13"/>
      <c r="F37" s="13"/>
      <c r="G37" s="13"/>
      <c r="H37" s="27"/>
      <c r="I37" s="13"/>
      <c r="J37" s="26"/>
      <c r="K37" s="28"/>
      <c r="L37" s="28"/>
      <c r="M37" s="28"/>
      <c r="N37" s="28"/>
      <c r="O37" s="28"/>
      <c r="P37" s="28"/>
      <c r="Q37" s="28"/>
      <c r="R37" s="150"/>
      <c r="S37" s="150"/>
      <c r="T37" s="150"/>
      <c r="U37" s="38"/>
      <c r="V37" s="38"/>
      <c r="W37" s="38"/>
      <c r="X37" s="151"/>
      <c r="Y37" s="38"/>
      <c r="Z37" s="38"/>
      <c r="AA37" s="301"/>
    </row>
    <row r="38" spans="1:38" ht="17.25" customHeight="1" x14ac:dyDescent="0.2">
      <c r="A38" s="278"/>
      <c r="B38" s="13" t="s">
        <v>29</v>
      </c>
      <c r="C38" s="27"/>
      <c r="D38" s="13"/>
      <c r="E38" s="13"/>
      <c r="F38" s="40" t="s">
        <v>89</v>
      </c>
      <c r="G38" s="878">
        <f>AC35</f>
        <v>556500</v>
      </c>
      <c r="H38" s="878"/>
      <c r="I38" s="878"/>
      <c r="J38" s="878"/>
      <c r="K38" s="13"/>
      <c r="L38" s="13"/>
      <c r="M38" s="13"/>
      <c r="N38" s="13"/>
      <c r="O38" s="28"/>
      <c r="P38" s="28"/>
      <c r="Q38" s="28"/>
      <c r="R38" s="28"/>
      <c r="S38" s="28"/>
      <c r="T38" s="28"/>
      <c r="U38" s="620" t="str">
        <f>cetak!U35</f>
        <v>CAMAT SUKOHARJO</v>
      </c>
      <c r="V38" s="13"/>
      <c r="W38" s="35"/>
      <c r="X38" s="13"/>
      <c r="Y38" s="13"/>
      <c r="Z38" s="13"/>
      <c r="AA38" s="279"/>
    </row>
    <row r="39" spans="1:38" ht="15.75" customHeight="1" x14ac:dyDescent="0.2">
      <c r="A39" s="278"/>
      <c r="B39" s="13" t="s">
        <v>30</v>
      </c>
      <c r="C39" s="27"/>
      <c r="D39" s="13"/>
      <c r="E39" s="13"/>
      <c r="F39" s="40" t="s">
        <v>89</v>
      </c>
      <c r="G39" s="878">
        <f>AD35</f>
        <v>392000</v>
      </c>
      <c r="H39" s="878"/>
      <c r="I39" s="878"/>
      <c r="J39" s="878"/>
      <c r="K39" s="13"/>
      <c r="L39" s="13"/>
      <c r="M39" s="13"/>
      <c r="N39" s="13"/>
      <c r="O39" s="28"/>
      <c r="P39" s="28"/>
      <c r="Q39" s="28"/>
      <c r="R39" s="28"/>
      <c r="S39" s="28"/>
      <c r="T39" s="28"/>
      <c r="U39" s="620"/>
      <c r="V39" s="13"/>
      <c r="W39" s="35"/>
      <c r="X39" s="13"/>
      <c r="Y39" s="13"/>
      <c r="Z39" s="13"/>
      <c r="AA39" s="279"/>
      <c r="AE39" s="210"/>
    </row>
    <row r="40" spans="1:38" ht="16.5" customHeight="1" x14ac:dyDescent="0.2">
      <c r="A40" s="278"/>
      <c r="B40" s="13" t="s">
        <v>31</v>
      </c>
      <c r="C40" s="27"/>
      <c r="D40" s="13"/>
      <c r="E40" s="13"/>
      <c r="F40" s="40" t="s">
        <v>89</v>
      </c>
      <c r="G40" s="878">
        <f>AE35</f>
        <v>575000</v>
      </c>
      <c r="H40" s="878"/>
      <c r="I40" s="878"/>
      <c r="J40" s="878"/>
      <c r="K40" s="13"/>
      <c r="L40" s="13"/>
      <c r="M40" s="13"/>
      <c r="N40" s="13"/>
      <c r="O40" s="28"/>
      <c r="P40" s="28"/>
      <c r="Q40" s="28"/>
      <c r="R40" s="28"/>
      <c r="S40" s="28"/>
      <c r="T40" s="28"/>
      <c r="U40" s="620"/>
      <c r="V40" s="13"/>
      <c r="W40" s="35"/>
      <c r="X40" s="13"/>
      <c r="Y40" s="13"/>
      <c r="Z40" s="13"/>
      <c r="AA40" s="279"/>
    </row>
    <row r="41" spans="1:38" ht="15.75" customHeight="1" x14ac:dyDescent="0.2">
      <c r="A41" s="278"/>
      <c r="B41" s="13" t="s">
        <v>32</v>
      </c>
      <c r="C41" s="30"/>
      <c r="D41" s="29"/>
      <c r="E41" s="13"/>
      <c r="F41" s="40" t="s">
        <v>89</v>
      </c>
      <c r="G41" s="878">
        <f>AF35</f>
        <v>0</v>
      </c>
      <c r="H41" s="878"/>
      <c r="I41" s="878"/>
      <c r="J41" s="878"/>
      <c r="K41" s="13"/>
      <c r="L41" s="13"/>
      <c r="M41" s="13"/>
      <c r="N41" s="13"/>
      <c r="O41" s="31"/>
      <c r="P41" s="31"/>
      <c r="Q41" s="31"/>
      <c r="R41" s="31"/>
      <c r="S41" s="31"/>
      <c r="T41" s="31"/>
      <c r="U41" s="620"/>
      <c r="V41" s="13"/>
      <c r="W41" s="52"/>
      <c r="X41" s="13"/>
      <c r="Y41" s="13"/>
      <c r="Z41" s="13"/>
      <c r="AA41" s="279"/>
    </row>
    <row r="42" spans="1:38" ht="15.75" customHeight="1" thickBot="1" x14ac:dyDescent="0.25">
      <c r="A42" s="278"/>
      <c r="B42" s="13"/>
      <c r="C42" s="13"/>
      <c r="D42" s="62" t="s">
        <v>28</v>
      </c>
      <c r="E42" s="13"/>
      <c r="F42" s="40" t="s">
        <v>89</v>
      </c>
      <c r="G42" s="877">
        <f>SUM(G38:J41)</f>
        <v>1523500</v>
      </c>
      <c r="H42" s="877"/>
      <c r="I42" s="877"/>
      <c r="J42" s="877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2" t="str">
        <f>cetak!U39</f>
        <v>DUDI WARDOYO, AP, M.M</v>
      </c>
      <c r="V42" s="13"/>
      <c r="W42" s="35"/>
      <c r="X42" s="13"/>
      <c r="Y42" s="34"/>
      <c r="Z42" s="34"/>
      <c r="AA42" s="280"/>
    </row>
    <row r="43" spans="1:38" ht="12.75" customHeight="1" thickTop="1" x14ac:dyDescent="0.2">
      <c r="A43" s="278"/>
      <c r="B43" s="13"/>
      <c r="C43" s="13"/>
      <c r="D43" s="62"/>
      <c r="E43" s="13"/>
      <c r="F43" s="40"/>
      <c r="G43" s="622"/>
      <c r="H43" s="622"/>
      <c r="I43" s="622"/>
      <c r="J43" s="62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620" t="str">
        <f>cetak!U40</f>
        <v>Pembina Tk. I</v>
      </c>
      <c r="V43" s="13"/>
      <c r="W43" s="620"/>
      <c r="X43" s="13"/>
      <c r="Y43" s="34"/>
      <c r="Z43" s="34"/>
      <c r="AA43" s="280"/>
    </row>
    <row r="44" spans="1:38" ht="12" customHeight="1" x14ac:dyDescent="0.2">
      <c r="A44" s="28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620" t="str">
        <f>cetak!U41</f>
        <v>NIP. 19741009 199311 1 001</v>
      </c>
      <c r="V44" s="10"/>
      <c r="W44" s="35"/>
      <c r="X44" s="10"/>
      <c r="Y44" s="10"/>
      <c r="Z44" s="10"/>
      <c r="AA44" s="282"/>
    </row>
    <row r="45" spans="1:38" s="138" customFormat="1" ht="18.75" customHeight="1" x14ac:dyDescent="0.2">
      <c r="A45" s="865" t="s">
        <v>194</v>
      </c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519"/>
      <c r="T45" s="520"/>
      <c r="U45" s="520"/>
      <c r="V45" s="520"/>
      <c r="W45" s="520"/>
      <c r="X45" s="520"/>
      <c r="Y45" s="520"/>
      <c r="Z45" s="520"/>
      <c r="AA45" s="521"/>
      <c r="AE45" s="136"/>
      <c r="AG45" s="136"/>
      <c r="AI45" s="136"/>
      <c r="AL45" s="136"/>
    </row>
    <row r="46" spans="1:38" s="138" customFormat="1" ht="3.75" customHeight="1" x14ac:dyDescent="0.2">
      <c r="A46" s="382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516"/>
      <c r="T46" s="151"/>
      <c r="U46" s="151"/>
      <c r="V46" s="151"/>
      <c r="W46" s="151"/>
      <c r="X46" s="151"/>
      <c r="Y46" s="151"/>
      <c r="Z46" s="151"/>
      <c r="AA46" s="518"/>
      <c r="AE46" s="136"/>
      <c r="AG46" s="136"/>
      <c r="AI46" s="136"/>
      <c r="AL46" s="136"/>
    </row>
    <row r="47" spans="1:38" ht="12.75" customHeight="1" x14ac:dyDescent="0.2">
      <c r="A47" s="27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2"/>
      <c r="T47" s="13"/>
      <c r="U47" s="13"/>
      <c r="V47" s="13"/>
      <c r="W47" s="35" t="str">
        <f>cetak!W44</f>
        <v>Wonosobo,        Januari 2019</v>
      </c>
      <c r="X47" s="13"/>
      <c r="Y47" s="13"/>
      <c r="Z47" s="13"/>
      <c r="AA47" s="279"/>
      <c r="AB47" s="33"/>
      <c r="AC47" s="33"/>
      <c r="AD47" s="33"/>
      <c r="AE47" s="33"/>
      <c r="AF47" s="33"/>
      <c r="AG47" s="33"/>
    </row>
    <row r="48" spans="1:38" ht="1.5" customHeight="1" x14ac:dyDescent="0.2">
      <c r="A48" s="27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2"/>
      <c r="T48" s="13"/>
      <c r="U48" s="13"/>
      <c r="V48" s="13"/>
      <c r="W48" s="35"/>
      <c r="X48" s="13"/>
      <c r="Y48" s="13"/>
      <c r="Z48" s="13"/>
      <c r="AA48" s="279"/>
      <c r="AB48" s="33"/>
      <c r="AC48" s="33"/>
      <c r="AD48" s="33"/>
      <c r="AE48" s="33"/>
      <c r="AF48" s="33"/>
      <c r="AG48" s="33"/>
    </row>
    <row r="49" spans="1:33" ht="18.75" customHeight="1" x14ac:dyDescent="0.2">
      <c r="A49" s="283"/>
      <c r="B49" s="26" t="s">
        <v>34</v>
      </c>
      <c r="C49" s="13" t="str">
        <f>cetak!C46</f>
        <v>RIDWAN SETIA N, S.Kom</v>
      </c>
      <c r="D49" s="44"/>
      <c r="E49" s="44"/>
      <c r="F49" s="44"/>
      <c r="G49" s="13"/>
      <c r="H49" s="13"/>
      <c r="K49" s="64" t="s">
        <v>34</v>
      </c>
      <c r="L49" s="47" t="s">
        <v>294</v>
      </c>
      <c r="M49" s="47"/>
      <c r="N49" s="47"/>
      <c r="O49" s="47"/>
      <c r="P49" s="13"/>
      <c r="Q49" s="13"/>
      <c r="R49" s="47"/>
      <c r="S49" s="522"/>
      <c r="T49" s="47"/>
      <c r="U49" s="13"/>
      <c r="V49" s="13"/>
      <c r="W49" s="35" t="s">
        <v>33</v>
      </c>
      <c r="X49" s="13"/>
      <c r="Y49" s="13"/>
      <c r="Z49" s="13"/>
      <c r="AA49" s="279"/>
    </row>
    <row r="50" spans="1:33" ht="11.25" customHeight="1" x14ac:dyDescent="0.2">
      <c r="A50" s="283"/>
      <c r="B50" s="26"/>
      <c r="C50" s="13"/>
      <c r="D50" s="44"/>
      <c r="E50" s="44"/>
      <c r="F50" s="44"/>
      <c r="G50" s="13"/>
      <c r="H50" s="13"/>
      <c r="K50" s="13"/>
      <c r="L50" s="13"/>
      <c r="M50" s="13"/>
      <c r="N50" s="13"/>
      <c r="O50" s="13"/>
      <c r="P50" s="13"/>
      <c r="Q50" s="13"/>
      <c r="R50" s="13"/>
      <c r="S50" s="12"/>
      <c r="T50" s="13"/>
      <c r="U50" s="13"/>
      <c r="V50" s="13"/>
      <c r="W50" s="35" t="s">
        <v>85</v>
      </c>
      <c r="X50" s="13"/>
      <c r="Y50" s="13"/>
      <c r="Z50" s="13"/>
      <c r="AA50" s="279"/>
    </row>
    <row r="51" spans="1:33" ht="18.75" customHeight="1" x14ac:dyDescent="0.2">
      <c r="A51" s="283"/>
      <c r="D51" s="44"/>
      <c r="E51" s="44"/>
      <c r="F51" s="44"/>
      <c r="G51" s="13"/>
      <c r="H51" s="13"/>
      <c r="K51" s="47"/>
      <c r="L51" s="47"/>
      <c r="M51" s="13"/>
      <c r="P51" s="13"/>
      <c r="Q51" s="13"/>
      <c r="R51" s="47"/>
      <c r="S51" s="522"/>
      <c r="T51" s="47"/>
      <c r="U51" s="13"/>
      <c r="V51" s="13"/>
      <c r="W51" s="65"/>
      <c r="X51" s="13"/>
      <c r="Y51" s="13"/>
      <c r="Z51" s="13"/>
      <c r="AA51" s="279"/>
    </row>
    <row r="52" spans="1:33" ht="12.75" customHeight="1" x14ac:dyDescent="0.2">
      <c r="A52" s="278"/>
      <c r="B52" s="26" t="s">
        <v>35</v>
      </c>
      <c r="C52" s="13" t="str">
        <f>cetak!C49</f>
        <v>SABAR KHOIRI</v>
      </c>
      <c r="D52" s="13"/>
      <c r="E52" s="13"/>
      <c r="F52" s="13"/>
      <c r="G52" s="13"/>
      <c r="H52" s="13"/>
      <c r="K52" s="64" t="s">
        <v>35</v>
      </c>
      <c r="L52" s="47" t="s">
        <v>294</v>
      </c>
      <c r="M52" s="44"/>
      <c r="N52" s="44"/>
      <c r="O52" s="44"/>
      <c r="P52" s="13"/>
      <c r="Q52" s="13"/>
      <c r="R52" s="44"/>
      <c r="S52" s="46"/>
      <c r="T52" s="44"/>
      <c r="U52" s="44"/>
      <c r="V52" s="44"/>
      <c r="W52" s="35"/>
      <c r="X52" s="44"/>
      <c r="Y52" s="44"/>
      <c r="Z52" s="44"/>
      <c r="AA52" s="284"/>
    </row>
    <row r="53" spans="1:33" s="33" customFormat="1" ht="16.5" customHeight="1" x14ac:dyDescent="0.2">
      <c r="A53" s="285"/>
      <c r="B53" s="26"/>
      <c r="C53" s="13"/>
      <c r="D53" s="35"/>
      <c r="E53" s="35"/>
      <c r="F53" s="35"/>
      <c r="G53" s="35"/>
      <c r="H53" s="35"/>
      <c r="K53" s="64"/>
      <c r="L53" s="47"/>
      <c r="M53" s="35"/>
      <c r="N53" s="35"/>
      <c r="O53" s="35"/>
      <c r="P53" s="35"/>
      <c r="Q53" s="35"/>
      <c r="R53" s="35"/>
      <c r="S53" s="36"/>
      <c r="T53" s="35"/>
      <c r="U53" s="66"/>
      <c r="V53" s="66"/>
      <c r="W53" s="52" t="str">
        <f>cetak!W50</f>
        <v>Drs. M. KRISTIJADI, M.Si</v>
      </c>
      <c r="X53" s="66"/>
      <c r="Y53" s="66"/>
      <c r="Z53" s="13"/>
      <c r="AA53" s="279"/>
      <c r="AB53" s="15"/>
      <c r="AC53" s="15"/>
      <c r="AD53" s="15"/>
      <c r="AE53" s="15"/>
      <c r="AF53" s="15"/>
      <c r="AG53" s="15"/>
    </row>
    <row r="54" spans="1:33" s="33" customFormat="1" ht="16.5" customHeight="1" x14ac:dyDescent="0.2">
      <c r="A54" s="285"/>
      <c r="B54" s="26"/>
      <c r="C54" s="13"/>
      <c r="D54" s="35"/>
      <c r="E54" s="35"/>
      <c r="F54" s="35"/>
      <c r="G54" s="35"/>
      <c r="H54" s="35"/>
      <c r="I54" s="64"/>
      <c r="J54" s="47"/>
      <c r="K54" s="35"/>
      <c r="L54" s="35"/>
      <c r="M54" s="35"/>
      <c r="N54" s="35"/>
      <c r="O54" s="35"/>
      <c r="P54" s="35"/>
      <c r="Q54" s="35"/>
      <c r="R54" s="35"/>
      <c r="S54" s="36"/>
      <c r="T54" s="35"/>
      <c r="U54" s="66"/>
      <c r="V54" s="66"/>
      <c r="W54" s="35" t="str">
        <f>cetak!W51</f>
        <v>Pembina Utama Muda</v>
      </c>
      <c r="X54" s="66"/>
      <c r="Y54" s="66"/>
      <c r="Z54" s="13"/>
      <c r="AA54" s="279"/>
      <c r="AB54" s="15"/>
      <c r="AC54" s="15"/>
      <c r="AD54" s="15"/>
      <c r="AE54" s="15"/>
      <c r="AF54" s="15"/>
      <c r="AG54" s="15"/>
    </row>
    <row r="55" spans="1:33" s="33" customFormat="1" ht="9" customHeight="1" x14ac:dyDescent="0.2">
      <c r="A55" s="285"/>
      <c r="B55" s="35"/>
      <c r="C55" s="35"/>
      <c r="D55" s="35"/>
      <c r="E55" s="35"/>
      <c r="F55" s="35"/>
      <c r="G55" s="26"/>
      <c r="H55" s="13"/>
      <c r="I55" s="13"/>
      <c r="J55" s="13"/>
      <c r="K55" s="35"/>
      <c r="L55" s="35"/>
      <c r="M55" s="35"/>
      <c r="N55" s="64"/>
      <c r="O55" s="47"/>
      <c r="P55" s="35"/>
      <c r="Q55" s="35"/>
      <c r="R55" s="35"/>
      <c r="S55" s="36"/>
      <c r="T55" s="35"/>
      <c r="U55" s="66"/>
      <c r="V55" s="66"/>
      <c r="W55" s="35" t="str">
        <f>cetak!W52</f>
        <v>NIP. 19681226 199403 1 005</v>
      </c>
      <c r="X55" s="66"/>
      <c r="Y55" s="66"/>
      <c r="Z55" s="13"/>
      <c r="AA55" s="279"/>
      <c r="AB55" s="15"/>
      <c r="AC55" s="15"/>
      <c r="AD55" s="15"/>
      <c r="AE55" s="15"/>
      <c r="AF55" s="15"/>
      <c r="AG55" s="15"/>
    </row>
    <row r="56" spans="1:33" ht="7.5" customHeight="1" thickBot="1" x14ac:dyDescent="0.25">
      <c r="A56" s="286"/>
      <c r="B56" s="287"/>
      <c r="C56" s="287"/>
      <c r="D56" s="287"/>
      <c r="E56" s="287"/>
      <c r="F56" s="287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524"/>
      <c r="T56" s="288"/>
      <c r="U56" s="288"/>
      <c r="V56" s="288"/>
      <c r="W56" s="289"/>
      <c r="X56" s="288"/>
      <c r="Y56" s="288"/>
      <c r="Z56" s="288"/>
      <c r="AA56" s="290"/>
    </row>
    <row r="57" spans="1:33" ht="17.25" thickTop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3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3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33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33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</sheetData>
  <mergeCells count="85">
    <mergeCell ref="V22:X22"/>
    <mergeCell ref="R26:S26"/>
    <mergeCell ref="T26:U26"/>
    <mergeCell ref="V25:X25"/>
    <mergeCell ref="T25:U25"/>
    <mergeCell ref="R24:S24"/>
    <mergeCell ref="T24:U24"/>
    <mergeCell ref="AE12:AE13"/>
    <mergeCell ref="AD26:AG26"/>
    <mergeCell ref="AF12:AF13"/>
    <mergeCell ref="AD12:AD13"/>
    <mergeCell ref="AG14:AG15"/>
    <mergeCell ref="A2:Q2"/>
    <mergeCell ref="A3:AA3"/>
    <mergeCell ref="M5:AA5"/>
    <mergeCell ref="V26:X26"/>
    <mergeCell ref="A12:AA12"/>
    <mergeCell ref="V24:X24"/>
    <mergeCell ref="A13:F13"/>
    <mergeCell ref="A21:J22"/>
    <mergeCell ref="R22:S22"/>
    <mergeCell ref="A23:J23"/>
    <mergeCell ref="G13:X13"/>
    <mergeCell ref="R23:S23"/>
    <mergeCell ref="Y25:AA25"/>
    <mergeCell ref="Y26:AA26"/>
    <mergeCell ref="Y24:AA24"/>
    <mergeCell ref="T22:U22"/>
    <mergeCell ref="A1:Q1"/>
    <mergeCell ref="Y17:AA17"/>
    <mergeCell ref="Y23:AA23"/>
    <mergeCell ref="R1:X1"/>
    <mergeCell ref="T23:U23"/>
    <mergeCell ref="A20:AA20"/>
    <mergeCell ref="A4:AA4"/>
    <mergeCell ref="Y13:AA13"/>
    <mergeCell ref="Y16:AA16"/>
    <mergeCell ref="Y15:AA15"/>
    <mergeCell ref="Y1:AA2"/>
    <mergeCell ref="Y14:AA14"/>
    <mergeCell ref="K21:Q22"/>
    <mergeCell ref="A19:AA19"/>
    <mergeCell ref="K23:Q23"/>
    <mergeCell ref="Y21:AA22"/>
    <mergeCell ref="R21:X21"/>
    <mergeCell ref="V23:X23"/>
    <mergeCell ref="T28:U28"/>
    <mergeCell ref="T33:U33"/>
    <mergeCell ref="T31:U31"/>
    <mergeCell ref="R31:S31"/>
    <mergeCell ref="R30:S30"/>
    <mergeCell ref="T29:U29"/>
    <mergeCell ref="T30:U30"/>
    <mergeCell ref="R29:S29"/>
    <mergeCell ref="R33:S33"/>
    <mergeCell ref="R28:S28"/>
    <mergeCell ref="R32:S32"/>
    <mergeCell ref="V32:X32"/>
    <mergeCell ref="R25:S25"/>
    <mergeCell ref="T32:U32"/>
    <mergeCell ref="A45:R45"/>
    <mergeCell ref="Y34:AA34"/>
    <mergeCell ref="G38:J38"/>
    <mergeCell ref="G42:J42"/>
    <mergeCell ref="G41:J41"/>
    <mergeCell ref="G40:J40"/>
    <mergeCell ref="G39:J39"/>
    <mergeCell ref="T34:U34"/>
    <mergeCell ref="R34:S34"/>
    <mergeCell ref="T35:U35"/>
    <mergeCell ref="R35:S35"/>
    <mergeCell ref="Y35:AA35"/>
    <mergeCell ref="V34:X34"/>
    <mergeCell ref="Y33:AA33"/>
    <mergeCell ref="V28:X28"/>
    <mergeCell ref="V35:X35"/>
    <mergeCell ref="V33:X33"/>
    <mergeCell ref="V31:X31"/>
    <mergeCell ref="V30:X30"/>
    <mergeCell ref="Y32:AA32"/>
    <mergeCell ref="Y31:AA31"/>
    <mergeCell ref="Y29:AA29"/>
    <mergeCell ref="Y28:AA28"/>
    <mergeCell ref="Y30:AA30"/>
    <mergeCell ref="V29:X29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3" r:id="rId1"/>
  <headerFooter alignWithMargins="0"/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2"/>
  <sheetViews>
    <sheetView showGridLines="0" view="pageBreakPreview" topLeftCell="I60" zoomScaleSheetLayoutView="100" workbookViewId="0">
      <selection activeCell="AJ48" sqref="AJ48"/>
    </sheetView>
  </sheetViews>
  <sheetFormatPr defaultColWidth="4.42578125" defaultRowHeight="16.5" x14ac:dyDescent="0.2"/>
  <cols>
    <col min="1" max="10" width="3.7109375" style="15" customWidth="1"/>
    <col min="11" max="11" width="8.42578125" style="15" bestFit="1" customWidth="1"/>
    <col min="12" max="20" width="4.42578125" style="15"/>
    <col min="21" max="21" width="4.7109375" style="15" customWidth="1"/>
    <col min="22" max="22" width="5" style="15" bestFit="1" customWidth="1"/>
    <col min="23" max="23" width="4" style="15" customWidth="1"/>
    <col min="24" max="27" width="4.42578125" style="15"/>
    <col min="28" max="28" width="12" style="15" customWidth="1"/>
    <col min="29" max="29" width="11.85546875" style="15" customWidth="1"/>
    <col min="30" max="30" width="8.42578125" style="15" customWidth="1"/>
    <col min="31" max="32" width="9.85546875" style="15" customWidth="1"/>
    <col min="33" max="33" width="10" style="15" customWidth="1"/>
    <col min="34" max="34" width="13.28515625" style="15" customWidth="1"/>
    <col min="35" max="35" width="10.28515625" style="15" customWidth="1"/>
    <col min="36" max="36" width="14" style="15" customWidth="1"/>
    <col min="37" max="16384" width="4.42578125" style="15"/>
  </cols>
  <sheetData>
    <row r="1" spans="1:32" ht="24.75" customHeight="1" thickTop="1" x14ac:dyDescent="0.2">
      <c r="A1" s="772" t="s">
        <v>193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916" t="s">
        <v>26</v>
      </c>
      <c r="S1" s="916"/>
      <c r="T1" s="916"/>
      <c r="U1" s="916"/>
      <c r="V1" s="916"/>
      <c r="W1" s="916"/>
      <c r="X1" s="916"/>
      <c r="Y1" s="775" t="s">
        <v>207</v>
      </c>
      <c r="Z1" s="773"/>
      <c r="AA1" s="776"/>
    </row>
    <row r="2" spans="1:32" ht="18.75" customHeight="1" x14ac:dyDescent="0.2">
      <c r="A2" s="780" t="s">
        <v>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56" t="s">
        <v>323</v>
      </c>
      <c r="S2" s="56" t="s">
        <v>323</v>
      </c>
      <c r="T2" s="56" t="s">
        <v>277</v>
      </c>
      <c r="U2" s="56" t="s">
        <v>44</v>
      </c>
      <c r="V2" s="56" t="s">
        <v>94</v>
      </c>
      <c r="W2" s="56" t="s">
        <v>40</v>
      </c>
      <c r="X2" s="56" t="s">
        <v>41</v>
      </c>
      <c r="Y2" s="777"/>
      <c r="Z2" s="778"/>
      <c r="AA2" s="779"/>
    </row>
    <row r="3" spans="1:32" ht="14.25" customHeight="1" x14ac:dyDescent="0.2">
      <c r="A3" s="923" t="s">
        <v>25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924"/>
    </row>
    <row r="4" spans="1:32" ht="16.5" customHeight="1" x14ac:dyDescent="0.2">
      <c r="A4" s="920" t="s">
        <v>383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2"/>
    </row>
    <row r="5" spans="1:32" ht="20.25" customHeight="1" x14ac:dyDescent="0.2">
      <c r="A5" s="266" t="s">
        <v>18</v>
      </c>
      <c r="B5" s="558"/>
      <c r="C5" s="558"/>
      <c r="D5" s="558"/>
      <c r="E5" s="558"/>
      <c r="F5" s="558"/>
      <c r="G5" s="683" t="s">
        <v>89</v>
      </c>
      <c r="H5" s="61" t="s">
        <v>323</v>
      </c>
      <c r="I5" s="61"/>
      <c r="J5" s="61"/>
      <c r="K5" s="61"/>
      <c r="L5" s="61"/>
      <c r="M5" s="951" t="s">
        <v>327</v>
      </c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2"/>
    </row>
    <row r="6" spans="1:32" ht="18.399999999999999" customHeight="1" x14ac:dyDescent="0.2">
      <c r="A6" s="266" t="s">
        <v>19</v>
      </c>
      <c r="B6" s="119"/>
      <c r="C6" s="119"/>
      <c r="D6" s="119"/>
      <c r="E6" s="119"/>
      <c r="F6" s="16"/>
      <c r="G6" s="683" t="s">
        <v>89</v>
      </c>
      <c r="H6" s="61" t="s">
        <v>325</v>
      </c>
      <c r="I6" s="61"/>
      <c r="J6" s="61"/>
      <c r="K6" s="61"/>
      <c r="L6" s="61"/>
      <c r="M6" s="16" t="s">
        <v>178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67"/>
    </row>
    <row r="7" spans="1:32" ht="18.399999999999999" customHeight="1" x14ac:dyDescent="0.2">
      <c r="A7" s="266" t="s">
        <v>20</v>
      </c>
      <c r="B7" s="119"/>
      <c r="C7" s="119"/>
      <c r="D7" s="119"/>
      <c r="E7" s="119"/>
      <c r="F7" s="16"/>
      <c r="G7" s="683" t="s">
        <v>89</v>
      </c>
      <c r="H7" s="61" t="s">
        <v>328</v>
      </c>
      <c r="I7" s="61"/>
      <c r="J7" s="61"/>
      <c r="K7" s="61" t="s">
        <v>44</v>
      </c>
      <c r="L7" s="61"/>
      <c r="M7" s="16" t="s">
        <v>101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67"/>
    </row>
    <row r="8" spans="1:32" ht="18.399999999999999" customHeight="1" x14ac:dyDescent="0.2">
      <c r="A8" s="268" t="s">
        <v>21</v>
      </c>
      <c r="B8" s="120"/>
      <c r="C8" s="120"/>
      <c r="D8" s="120"/>
      <c r="E8" s="120"/>
      <c r="F8" s="16"/>
      <c r="G8" s="683" t="s">
        <v>89</v>
      </c>
      <c r="H8" s="61" t="s">
        <v>328</v>
      </c>
      <c r="I8" s="61"/>
      <c r="J8" s="61"/>
      <c r="K8" s="61" t="s">
        <v>406</v>
      </c>
      <c r="L8" s="61"/>
      <c r="M8" s="16" t="s">
        <v>104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67"/>
    </row>
    <row r="9" spans="1:32" ht="18.399999999999999" customHeight="1" x14ac:dyDescent="0.2">
      <c r="A9" s="268" t="s">
        <v>22</v>
      </c>
      <c r="B9" s="120"/>
      <c r="C9" s="120"/>
      <c r="D9" s="120"/>
      <c r="E9" s="120"/>
      <c r="F9" s="16"/>
      <c r="G9" s="683" t="s">
        <v>89</v>
      </c>
      <c r="H9" s="18" t="s">
        <v>384</v>
      </c>
      <c r="I9" s="18"/>
      <c r="J9" s="18"/>
      <c r="K9" s="18"/>
      <c r="L9" s="18"/>
      <c r="M9" s="18"/>
      <c r="N9" s="16"/>
      <c r="O9" s="16"/>
      <c r="P9" s="16"/>
      <c r="Q9" s="16"/>
      <c r="R9" s="18"/>
      <c r="S9" s="18"/>
      <c r="T9" s="18"/>
      <c r="U9" s="18"/>
      <c r="V9" s="18"/>
      <c r="W9" s="18"/>
      <c r="X9" s="18"/>
      <c r="Y9" s="18"/>
      <c r="Z9" s="18"/>
      <c r="AA9" s="269"/>
    </row>
    <row r="10" spans="1:32" ht="16.5" customHeight="1" x14ac:dyDescent="0.2">
      <c r="A10" s="268" t="s">
        <v>23</v>
      </c>
      <c r="B10" s="120"/>
      <c r="C10" s="120"/>
      <c r="D10" s="120"/>
      <c r="E10" s="120"/>
      <c r="F10" s="16"/>
      <c r="G10" s="683" t="s">
        <v>89</v>
      </c>
      <c r="H10" s="18" t="s">
        <v>178</v>
      </c>
      <c r="I10" s="20"/>
      <c r="J10" s="20"/>
      <c r="K10" s="20"/>
      <c r="L10" s="20"/>
      <c r="M10" s="20"/>
      <c r="N10" s="16"/>
      <c r="O10" s="16"/>
      <c r="P10" s="16"/>
      <c r="Q10" s="16"/>
      <c r="R10" s="20"/>
      <c r="S10" s="20"/>
      <c r="T10" s="20"/>
      <c r="U10" s="18"/>
      <c r="V10" s="18"/>
      <c r="W10" s="18"/>
      <c r="X10" s="18"/>
      <c r="Y10" s="18"/>
      <c r="Z10" s="18"/>
      <c r="AA10" s="269"/>
    </row>
    <row r="11" spans="1:32" ht="18.399999999999999" customHeight="1" x14ac:dyDescent="0.2">
      <c r="A11" s="268" t="s">
        <v>24</v>
      </c>
      <c r="B11" s="120"/>
      <c r="C11" s="120"/>
      <c r="D11" s="120"/>
      <c r="E11" s="120"/>
      <c r="F11" s="16"/>
      <c r="G11" s="683" t="s">
        <v>89</v>
      </c>
      <c r="H11" s="18" t="s">
        <v>385</v>
      </c>
      <c r="I11" s="123"/>
      <c r="J11" s="123"/>
      <c r="K11" s="123"/>
      <c r="L11" s="123"/>
      <c r="M11" s="110"/>
      <c r="N11" s="13"/>
      <c r="O11" s="13"/>
      <c r="P11" s="13"/>
      <c r="Q11" s="13"/>
      <c r="R11" s="18"/>
      <c r="S11" s="18"/>
      <c r="T11" s="18"/>
      <c r="U11" s="18"/>
      <c r="V11" s="16"/>
      <c r="W11" s="16"/>
      <c r="X11" s="16"/>
      <c r="Y11" s="16"/>
      <c r="Z11" s="16"/>
      <c r="AA11" s="267"/>
    </row>
    <row r="12" spans="1:32" ht="18.399999999999999" customHeight="1" x14ac:dyDescent="0.2">
      <c r="A12" s="938" t="s">
        <v>8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40"/>
      <c r="AE12" s="50"/>
      <c r="AF12" s="50"/>
    </row>
    <row r="13" spans="1:32" ht="15.75" customHeight="1" x14ac:dyDescent="0.2">
      <c r="A13" s="941" t="s">
        <v>9</v>
      </c>
      <c r="B13" s="914"/>
      <c r="C13" s="914"/>
      <c r="D13" s="914"/>
      <c r="E13" s="914"/>
      <c r="F13" s="915"/>
      <c r="G13" s="914" t="s">
        <v>10</v>
      </c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5"/>
      <c r="Y13" s="913" t="s">
        <v>11</v>
      </c>
      <c r="Z13" s="914"/>
      <c r="AA13" s="936"/>
    </row>
    <row r="14" spans="1:32" ht="16.5" customHeight="1" x14ac:dyDescent="0.2">
      <c r="A14" s="266" t="s">
        <v>14</v>
      </c>
      <c r="B14" s="119"/>
      <c r="C14" s="119"/>
      <c r="D14" s="119"/>
      <c r="E14" s="119"/>
      <c r="F14" s="17"/>
      <c r="G14" s="21" t="s">
        <v>136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94">
        <v>1</v>
      </c>
      <c r="Z14" s="895"/>
      <c r="AA14" s="896"/>
      <c r="AE14" s="50"/>
      <c r="AF14" s="50"/>
    </row>
    <row r="15" spans="1:32" ht="17.25" customHeight="1" x14ac:dyDescent="0.2">
      <c r="A15" s="266" t="s">
        <v>15</v>
      </c>
      <c r="B15" s="119"/>
      <c r="C15" s="119"/>
      <c r="D15" s="119"/>
      <c r="E15" s="119"/>
      <c r="F15" s="17"/>
      <c r="G15" s="21" t="s">
        <v>122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91">
        <f>Y24</f>
        <v>1346000</v>
      </c>
      <c r="Z15" s="892"/>
      <c r="AA15" s="893"/>
      <c r="AE15" s="51"/>
      <c r="AF15" s="51"/>
    </row>
    <row r="16" spans="1:32" ht="18.399999999999999" customHeight="1" x14ac:dyDescent="0.2">
      <c r="A16" s="266" t="s">
        <v>16</v>
      </c>
      <c r="B16" s="119"/>
      <c r="C16" s="119"/>
      <c r="D16" s="119"/>
      <c r="E16" s="119"/>
      <c r="F16" s="17"/>
      <c r="G16" s="21" t="s">
        <v>137</v>
      </c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89" t="s">
        <v>124</v>
      </c>
      <c r="Z16" s="883"/>
      <c r="AA16" s="890"/>
    </row>
    <row r="17" spans="1:34" ht="17.25" customHeight="1" x14ac:dyDescent="0.2">
      <c r="A17" s="266" t="s">
        <v>17</v>
      </c>
      <c r="B17" s="119"/>
      <c r="C17" s="119"/>
      <c r="D17" s="119"/>
      <c r="E17" s="119"/>
      <c r="F17" s="17"/>
      <c r="G17" s="21" t="s">
        <v>137</v>
      </c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89" t="s">
        <v>177</v>
      </c>
      <c r="Z17" s="883"/>
      <c r="AA17" s="890"/>
      <c r="AE17" s="51"/>
      <c r="AF17" s="51"/>
    </row>
    <row r="18" spans="1:34" ht="18.399999999999999" customHeight="1" x14ac:dyDescent="0.2">
      <c r="A18" s="266" t="s">
        <v>12</v>
      </c>
      <c r="B18" s="119"/>
      <c r="C18" s="119"/>
      <c r="D18" s="119"/>
      <c r="E18" s="119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7"/>
      <c r="AE18" s="51"/>
      <c r="AF18" s="51"/>
    </row>
    <row r="19" spans="1:34" ht="15.95" customHeight="1" x14ac:dyDescent="0.2">
      <c r="A19" s="954" t="s">
        <v>0</v>
      </c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55"/>
    </row>
    <row r="20" spans="1:34" ht="15.95" customHeight="1" x14ac:dyDescent="0.2">
      <c r="A20" s="957" t="s">
        <v>1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58"/>
      <c r="AD20" s="48"/>
    </row>
    <row r="21" spans="1:34" ht="15.95" customHeight="1" x14ac:dyDescent="0.2">
      <c r="A21" s="956" t="s">
        <v>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745" t="s">
        <v>3</v>
      </c>
      <c r="L21" s="746"/>
      <c r="M21" s="746"/>
      <c r="N21" s="746"/>
      <c r="O21" s="746"/>
      <c r="P21" s="746"/>
      <c r="Q21" s="746"/>
      <c r="R21" s="913" t="s">
        <v>4</v>
      </c>
      <c r="S21" s="914"/>
      <c r="T21" s="914"/>
      <c r="U21" s="914"/>
      <c r="V21" s="914"/>
      <c r="W21" s="914"/>
      <c r="X21" s="915"/>
      <c r="Y21" s="745" t="s">
        <v>13</v>
      </c>
      <c r="Z21" s="746"/>
      <c r="AA21" s="924"/>
    </row>
    <row r="22" spans="1:34" ht="15.95" customHeight="1" x14ac:dyDescent="0.2">
      <c r="A22" s="956"/>
      <c r="B22" s="910"/>
      <c r="C22" s="910"/>
      <c r="D22" s="910"/>
      <c r="E22" s="910"/>
      <c r="F22" s="910"/>
      <c r="G22" s="910"/>
      <c r="H22" s="910"/>
      <c r="I22" s="910"/>
      <c r="J22" s="910"/>
      <c r="K22" s="925"/>
      <c r="L22" s="921"/>
      <c r="M22" s="921"/>
      <c r="N22" s="921"/>
      <c r="O22" s="921"/>
      <c r="P22" s="921"/>
      <c r="Q22" s="921"/>
      <c r="R22" s="901" t="s">
        <v>5</v>
      </c>
      <c r="S22" s="902"/>
      <c r="T22" s="901" t="s">
        <v>6</v>
      </c>
      <c r="U22" s="902"/>
      <c r="V22" s="901" t="s">
        <v>7</v>
      </c>
      <c r="W22" s="937"/>
      <c r="X22" s="902"/>
      <c r="Y22" s="925"/>
      <c r="Z22" s="921"/>
      <c r="AA22" s="922"/>
    </row>
    <row r="23" spans="1:34" ht="15.95" customHeight="1" x14ac:dyDescent="0.2">
      <c r="A23" s="953">
        <v>1</v>
      </c>
      <c r="B23" s="912"/>
      <c r="C23" s="912"/>
      <c r="D23" s="912"/>
      <c r="E23" s="912"/>
      <c r="F23" s="912"/>
      <c r="G23" s="912"/>
      <c r="H23" s="912"/>
      <c r="I23" s="912"/>
      <c r="J23" s="912"/>
      <c r="K23" s="897">
        <v>2</v>
      </c>
      <c r="L23" s="899"/>
      <c r="M23" s="899"/>
      <c r="N23" s="899"/>
      <c r="O23" s="899"/>
      <c r="P23" s="899"/>
      <c r="Q23" s="899"/>
      <c r="R23" s="897">
        <v>3</v>
      </c>
      <c r="S23" s="898"/>
      <c r="T23" s="897">
        <v>4</v>
      </c>
      <c r="U23" s="898"/>
      <c r="V23" s="897">
        <v>5</v>
      </c>
      <c r="W23" s="899"/>
      <c r="X23" s="898"/>
      <c r="Y23" s="897" t="s">
        <v>27</v>
      </c>
      <c r="Z23" s="899"/>
      <c r="AA23" s="950"/>
    </row>
    <row r="24" spans="1:34" s="105" customFormat="1" ht="15.95" customHeight="1" x14ac:dyDescent="0.2">
      <c r="A24" s="556" t="s">
        <v>323</v>
      </c>
      <c r="B24" s="557" t="s">
        <v>323</v>
      </c>
      <c r="C24" s="557" t="s">
        <v>277</v>
      </c>
      <c r="D24" s="83" t="s">
        <v>44</v>
      </c>
      <c r="E24" s="83" t="s">
        <v>94</v>
      </c>
      <c r="F24" s="83" t="s">
        <v>40</v>
      </c>
      <c r="G24" s="83" t="s">
        <v>41</v>
      </c>
      <c r="H24" s="22" t="s">
        <v>41</v>
      </c>
      <c r="I24" s="22"/>
      <c r="J24" s="22"/>
      <c r="K24" s="53" t="s">
        <v>86</v>
      </c>
      <c r="L24" s="58"/>
      <c r="M24" s="58"/>
      <c r="N24" s="58"/>
      <c r="O24" s="58"/>
      <c r="P24" s="58"/>
      <c r="Q24" s="58"/>
      <c r="R24" s="1114"/>
      <c r="S24" s="1115"/>
      <c r="T24" s="1114"/>
      <c r="U24" s="1115"/>
      <c r="V24" s="1114"/>
      <c r="W24" s="1125"/>
      <c r="X24" s="1115"/>
      <c r="Y24" s="1023">
        <f>Y25</f>
        <v>1346000</v>
      </c>
      <c r="Z24" s="1024"/>
      <c r="AA24" s="1025"/>
      <c r="AB24" s="15"/>
      <c r="AC24" s="15"/>
      <c r="AD24" s="15"/>
      <c r="AE24" s="48">
        <f>AE30+AF30</f>
        <v>365500</v>
      </c>
      <c r="AF24" s="15"/>
      <c r="AG24" s="15"/>
      <c r="AH24" s="15"/>
    </row>
    <row r="25" spans="1:34" s="105" customFormat="1" ht="15.95" customHeight="1" x14ac:dyDescent="0.2">
      <c r="A25" s="270" t="s">
        <v>323</v>
      </c>
      <c r="B25" s="23" t="s">
        <v>323</v>
      </c>
      <c r="C25" s="23" t="s">
        <v>277</v>
      </c>
      <c r="D25" s="23" t="s">
        <v>44</v>
      </c>
      <c r="E25" s="23" t="s">
        <v>94</v>
      </c>
      <c r="F25" s="23" t="s">
        <v>40</v>
      </c>
      <c r="G25" s="23" t="s">
        <v>41</v>
      </c>
      <c r="H25" s="81" t="s">
        <v>41</v>
      </c>
      <c r="I25" s="82" t="s">
        <v>44</v>
      </c>
      <c r="J25" s="82"/>
      <c r="K25" s="79" t="s">
        <v>39</v>
      </c>
      <c r="L25" s="59"/>
      <c r="M25" s="59"/>
      <c r="N25" s="59"/>
      <c r="O25" s="59"/>
      <c r="P25" s="59"/>
      <c r="Q25" s="59"/>
      <c r="R25" s="1116"/>
      <c r="S25" s="1118"/>
      <c r="T25" s="1116"/>
      <c r="U25" s="1118"/>
      <c r="V25" s="1116"/>
      <c r="W25" s="1117"/>
      <c r="X25" s="1118"/>
      <c r="Y25" s="1023">
        <f>Y26+Y30+Y43</f>
        <v>1346000</v>
      </c>
      <c r="Z25" s="1024"/>
      <c r="AA25" s="1025"/>
      <c r="AB25" s="15"/>
      <c r="AC25" s="48"/>
      <c r="AD25" s="800"/>
      <c r="AE25" s="801"/>
      <c r="AF25" s="48"/>
      <c r="AG25" s="48"/>
      <c r="AH25" s="15"/>
    </row>
    <row r="26" spans="1:34" s="105" customFormat="1" ht="15.95" customHeight="1" x14ac:dyDescent="0.3">
      <c r="A26" s="271" t="s">
        <v>323</v>
      </c>
      <c r="B26" s="25" t="s">
        <v>323</v>
      </c>
      <c r="C26" s="25" t="s">
        <v>277</v>
      </c>
      <c r="D26" s="25" t="s">
        <v>44</v>
      </c>
      <c r="E26" s="25" t="s">
        <v>94</v>
      </c>
      <c r="F26" s="25" t="s">
        <v>40</v>
      </c>
      <c r="G26" s="25" t="s">
        <v>41</v>
      </c>
      <c r="H26" s="25" t="s">
        <v>41</v>
      </c>
      <c r="I26" s="25" t="s">
        <v>44</v>
      </c>
      <c r="J26" s="25" t="s">
        <v>364</v>
      </c>
      <c r="K26" s="24" t="s">
        <v>408</v>
      </c>
      <c r="L26" s="57"/>
      <c r="M26" s="57"/>
      <c r="N26" s="57"/>
      <c r="O26" s="57"/>
      <c r="P26" s="57"/>
      <c r="Q26" s="57"/>
      <c r="R26" s="983"/>
      <c r="S26" s="984"/>
      <c r="T26" s="1108"/>
      <c r="U26" s="1108"/>
      <c r="V26" s="983"/>
      <c r="W26" s="1108"/>
      <c r="X26" s="984"/>
      <c r="Y26" s="832">
        <f>Y28+Y29</f>
        <v>300000</v>
      </c>
      <c r="Z26" s="833"/>
      <c r="AA26" s="966"/>
      <c r="AB26" s="15"/>
      <c r="AC26" s="48"/>
      <c r="AD26" s="636"/>
      <c r="AE26" s="637"/>
      <c r="AF26" s="48"/>
      <c r="AG26" s="48"/>
      <c r="AH26" s="15"/>
    </row>
    <row r="27" spans="1:34" s="105" customFormat="1" ht="15.95" customHeight="1" x14ac:dyDescent="0.3">
      <c r="A27" s="271"/>
      <c r="B27" s="25"/>
      <c r="C27" s="25"/>
      <c r="D27" s="25"/>
      <c r="E27" s="25"/>
      <c r="F27" s="25"/>
      <c r="G27" s="25"/>
      <c r="H27" s="25"/>
      <c r="I27" s="25"/>
      <c r="J27" s="25"/>
      <c r="K27" s="106" t="s">
        <v>365</v>
      </c>
      <c r="L27" s="159"/>
      <c r="M27" s="159"/>
      <c r="N27" s="159"/>
      <c r="O27" s="159"/>
      <c r="P27" s="159"/>
      <c r="Q27" s="159"/>
      <c r="R27" s="692"/>
      <c r="S27" s="693"/>
      <c r="T27" s="699"/>
      <c r="U27" s="699"/>
      <c r="V27" s="692"/>
      <c r="W27" s="699"/>
      <c r="X27" s="693"/>
      <c r="Y27" s="832"/>
      <c r="Z27" s="833"/>
      <c r="AA27" s="966"/>
      <c r="AB27" s="15"/>
      <c r="AC27" s="48"/>
      <c r="AD27" s="636"/>
      <c r="AE27" s="637"/>
      <c r="AF27" s="48"/>
      <c r="AG27" s="48"/>
      <c r="AH27" s="15"/>
    </row>
    <row r="28" spans="1:34" s="105" customFormat="1" ht="15.95" customHeight="1" x14ac:dyDescent="0.3">
      <c r="A28" s="270"/>
      <c r="B28" s="23"/>
      <c r="C28" s="23"/>
      <c r="D28" s="23"/>
      <c r="E28" s="23"/>
      <c r="F28" s="23"/>
      <c r="G28" s="23"/>
      <c r="H28" s="81"/>
      <c r="I28" s="82"/>
      <c r="J28" s="82"/>
      <c r="K28" s="72" t="s">
        <v>409</v>
      </c>
      <c r="L28" s="59"/>
      <c r="M28" s="59"/>
      <c r="N28" s="59"/>
      <c r="O28" s="59"/>
      <c r="P28" s="59"/>
      <c r="Q28" s="59"/>
      <c r="R28" s="983">
        <v>30</v>
      </c>
      <c r="S28" s="984"/>
      <c r="T28" s="983" t="s">
        <v>170</v>
      </c>
      <c r="U28" s="984"/>
      <c r="V28" s="979">
        <v>3000</v>
      </c>
      <c r="W28" s="980"/>
      <c r="X28" s="981"/>
      <c r="Y28" s="832">
        <f t="shared" ref="Y28:Y29" si="0">R28*V28</f>
        <v>90000</v>
      </c>
      <c r="Z28" s="833"/>
      <c r="AA28" s="966"/>
      <c r="AB28" s="15"/>
      <c r="AC28" s="48">
        <v>90000</v>
      </c>
      <c r="AD28" s="636"/>
      <c r="AE28" s="637"/>
      <c r="AF28" s="48"/>
      <c r="AG28" s="48">
        <f>SUM(AC28:AF28)</f>
        <v>90000</v>
      </c>
      <c r="AH28" s="15"/>
    </row>
    <row r="29" spans="1:34" s="105" customFormat="1" ht="15.95" customHeight="1" x14ac:dyDescent="0.3">
      <c r="A29" s="270"/>
      <c r="B29" s="23"/>
      <c r="C29" s="23"/>
      <c r="D29" s="23"/>
      <c r="E29" s="23"/>
      <c r="F29" s="23"/>
      <c r="G29" s="23"/>
      <c r="H29" s="81"/>
      <c r="I29" s="82"/>
      <c r="J29" s="82"/>
      <c r="K29" s="72" t="s">
        <v>410</v>
      </c>
      <c r="L29" s="59"/>
      <c r="M29" s="59"/>
      <c r="N29" s="59"/>
      <c r="O29" s="59"/>
      <c r="P29" s="59"/>
      <c r="Q29" s="59"/>
      <c r="R29" s="983">
        <v>35</v>
      </c>
      <c r="S29" s="984"/>
      <c r="T29" s="983" t="s">
        <v>170</v>
      </c>
      <c r="U29" s="984"/>
      <c r="V29" s="979">
        <v>6000</v>
      </c>
      <c r="W29" s="980"/>
      <c r="X29" s="981"/>
      <c r="Y29" s="832">
        <f t="shared" si="0"/>
        <v>210000</v>
      </c>
      <c r="Z29" s="833"/>
      <c r="AA29" s="966"/>
      <c r="AB29" s="15"/>
      <c r="AC29" s="48">
        <v>210000</v>
      </c>
      <c r="AD29" s="636"/>
      <c r="AE29" s="637"/>
      <c r="AF29" s="48"/>
      <c r="AG29" s="48">
        <f>SUM(AC29:AF29)</f>
        <v>210000</v>
      </c>
      <c r="AH29" s="15"/>
    </row>
    <row r="30" spans="1:34" ht="15.95" customHeight="1" x14ac:dyDescent="0.3">
      <c r="A30" s="271" t="s">
        <v>323</v>
      </c>
      <c r="B30" s="25" t="s">
        <v>323</v>
      </c>
      <c r="C30" s="25" t="s">
        <v>277</v>
      </c>
      <c r="D30" s="25" t="s">
        <v>44</v>
      </c>
      <c r="E30" s="25" t="s">
        <v>94</v>
      </c>
      <c r="F30" s="25" t="s">
        <v>40</v>
      </c>
      <c r="G30" s="25" t="s">
        <v>41</v>
      </c>
      <c r="H30" s="25" t="s">
        <v>41</v>
      </c>
      <c r="I30" s="25" t="s">
        <v>44</v>
      </c>
      <c r="J30" s="25" t="s">
        <v>43</v>
      </c>
      <c r="K30" s="24" t="s">
        <v>261</v>
      </c>
      <c r="L30" s="57"/>
      <c r="M30" s="57"/>
      <c r="N30" s="57"/>
      <c r="O30" s="57"/>
      <c r="P30" s="57"/>
      <c r="Q30" s="57"/>
      <c r="R30" s="983"/>
      <c r="S30" s="984"/>
      <c r="T30" s="1108"/>
      <c r="U30" s="1108"/>
      <c r="V30" s="983"/>
      <c r="W30" s="1108"/>
      <c r="X30" s="984"/>
      <c r="Y30" s="832">
        <f>SUM(Y32:AA42)</f>
        <v>746000</v>
      </c>
      <c r="Z30" s="833"/>
      <c r="AA30" s="966"/>
      <c r="AB30" s="164"/>
      <c r="AC30" s="165">
        <f>SUM(AC32:AC42)</f>
        <v>244000</v>
      </c>
      <c r="AD30" s="165">
        <f>SUM(AD32:AD42)</f>
        <v>136500</v>
      </c>
      <c r="AE30" s="165">
        <f>SUM(AE32:AE42)</f>
        <v>174000</v>
      </c>
      <c r="AF30" s="165">
        <f>SUM(AF32:AF42)</f>
        <v>191500</v>
      </c>
      <c r="AG30" s="165">
        <f>SUM(AG32:AG42)</f>
        <v>746000</v>
      </c>
      <c r="AH30" s="165">
        <f>Y30-AG30</f>
        <v>0</v>
      </c>
    </row>
    <row r="31" spans="1:34" ht="15.95" customHeight="1" x14ac:dyDescent="0.3">
      <c r="A31" s="271"/>
      <c r="B31" s="25"/>
      <c r="C31" s="25"/>
      <c r="D31" s="25"/>
      <c r="E31" s="25"/>
      <c r="F31" s="25"/>
      <c r="G31" s="25"/>
      <c r="H31" s="25"/>
      <c r="I31" s="25"/>
      <c r="J31" s="25"/>
      <c r="K31" s="106" t="s">
        <v>262</v>
      </c>
      <c r="L31" s="159"/>
      <c r="M31" s="159"/>
      <c r="N31" s="159"/>
      <c r="O31" s="159"/>
      <c r="P31" s="159"/>
      <c r="Q31" s="159"/>
      <c r="R31" s="692"/>
      <c r="S31" s="693"/>
      <c r="T31" s="699"/>
      <c r="U31" s="699"/>
      <c r="V31" s="692"/>
      <c r="W31" s="699"/>
      <c r="X31" s="693"/>
      <c r="Y31" s="832"/>
      <c r="Z31" s="833"/>
      <c r="AA31" s="966"/>
      <c r="AB31" s="199"/>
      <c r="AC31" s="165"/>
      <c r="AD31" s="165"/>
      <c r="AE31" s="165"/>
      <c r="AF31" s="165"/>
      <c r="AG31" s="165"/>
      <c r="AH31" s="165">
        <f t="shared" ref="AH31:AH44" si="1">Y31-AG31</f>
        <v>0</v>
      </c>
    </row>
    <row r="32" spans="1:34" ht="15.95" customHeight="1" x14ac:dyDescent="0.3">
      <c r="A32" s="271"/>
      <c r="B32" s="25"/>
      <c r="C32" s="25"/>
      <c r="D32" s="25"/>
      <c r="E32" s="25"/>
      <c r="F32" s="25"/>
      <c r="G32" s="25"/>
      <c r="H32" s="25"/>
      <c r="I32" s="25"/>
      <c r="J32" s="25"/>
      <c r="K32" s="146" t="s">
        <v>284</v>
      </c>
      <c r="L32" s="159"/>
      <c r="M32" s="159"/>
      <c r="N32" s="159"/>
      <c r="O32" s="159"/>
      <c r="P32" s="159"/>
      <c r="Q32" s="159"/>
      <c r="R32" s="983">
        <v>4</v>
      </c>
      <c r="S32" s="984"/>
      <c r="T32" s="983" t="s">
        <v>46</v>
      </c>
      <c r="U32" s="984"/>
      <c r="V32" s="979">
        <v>17500</v>
      </c>
      <c r="W32" s="980"/>
      <c r="X32" s="981"/>
      <c r="Y32" s="832">
        <f>R32*V32</f>
        <v>70000</v>
      </c>
      <c r="Z32" s="833"/>
      <c r="AA32" s="966"/>
      <c r="AB32" s="199"/>
      <c r="AC32" s="165">
        <v>17500</v>
      </c>
      <c r="AD32" s="165">
        <v>17500</v>
      </c>
      <c r="AE32" s="165">
        <v>17500</v>
      </c>
      <c r="AF32" s="165">
        <v>17500</v>
      </c>
      <c r="AG32" s="165">
        <f>SUM(AC32:AF32)</f>
        <v>70000</v>
      </c>
      <c r="AH32" s="165">
        <f t="shared" si="1"/>
        <v>0</v>
      </c>
    </row>
    <row r="33" spans="1:35" ht="15.95" customHeight="1" x14ac:dyDescent="0.3">
      <c r="A33" s="271"/>
      <c r="B33" s="25"/>
      <c r="C33" s="25"/>
      <c r="D33" s="25"/>
      <c r="E33" s="25"/>
      <c r="F33" s="25"/>
      <c r="G33" s="25"/>
      <c r="H33" s="25"/>
      <c r="I33" s="25"/>
      <c r="J33" s="25"/>
      <c r="K33" s="146" t="s">
        <v>287</v>
      </c>
      <c r="L33" s="159"/>
      <c r="M33" s="159"/>
      <c r="N33" s="159"/>
      <c r="O33" s="159"/>
      <c r="P33" s="159"/>
      <c r="Q33" s="159"/>
      <c r="R33" s="983">
        <v>2</v>
      </c>
      <c r="S33" s="984"/>
      <c r="T33" s="983" t="s">
        <v>46</v>
      </c>
      <c r="U33" s="984"/>
      <c r="V33" s="979">
        <v>16000</v>
      </c>
      <c r="W33" s="980"/>
      <c r="X33" s="981"/>
      <c r="Y33" s="832">
        <f>R33*V33</f>
        <v>32000</v>
      </c>
      <c r="Z33" s="833"/>
      <c r="AA33" s="966"/>
      <c r="AB33" s="199"/>
      <c r="AC33" s="165">
        <v>16000</v>
      </c>
      <c r="AD33" s="165"/>
      <c r="AE33" s="165">
        <v>16000</v>
      </c>
      <c r="AF33" s="165"/>
      <c r="AG33" s="165">
        <f t="shared" ref="AG33:AG44" si="2">SUM(AC33:AF33)</f>
        <v>32000</v>
      </c>
      <c r="AH33" s="165">
        <f t="shared" si="1"/>
        <v>0</v>
      </c>
    </row>
    <row r="34" spans="1:35" ht="15.95" customHeight="1" x14ac:dyDescent="0.3">
      <c r="A34" s="271"/>
      <c r="B34" s="25"/>
      <c r="C34" s="25"/>
      <c r="D34" s="25"/>
      <c r="E34" s="25"/>
      <c r="F34" s="25"/>
      <c r="G34" s="25"/>
      <c r="H34" s="25"/>
      <c r="I34" s="25"/>
      <c r="J34" s="25"/>
      <c r="K34" s="146" t="s">
        <v>272</v>
      </c>
      <c r="L34" s="159"/>
      <c r="M34" s="159"/>
      <c r="N34" s="159"/>
      <c r="O34" s="159"/>
      <c r="P34" s="159"/>
      <c r="Q34" s="159"/>
      <c r="R34" s="983">
        <v>3</v>
      </c>
      <c r="S34" s="984"/>
      <c r="T34" s="983" t="s">
        <v>46</v>
      </c>
      <c r="U34" s="984"/>
      <c r="V34" s="979">
        <v>23500</v>
      </c>
      <c r="W34" s="980"/>
      <c r="X34" s="981"/>
      <c r="Y34" s="832">
        <f>R34*V34</f>
        <v>70500</v>
      </c>
      <c r="Z34" s="833"/>
      <c r="AA34" s="966"/>
      <c r="AB34" s="199"/>
      <c r="AC34" s="165">
        <v>23500</v>
      </c>
      <c r="AD34" s="165">
        <v>23500</v>
      </c>
      <c r="AE34" s="165">
        <v>0</v>
      </c>
      <c r="AF34" s="165">
        <v>23500</v>
      </c>
      <c r="AG34" s="165">
        <f t="shared" si="2"/>
        <v>70500</v>
      </c>
      <c r="AH34" s="165">
        <f t="shared" si="1"/>
        <v>0</v>
      </c>
    </row>
    <row r="35" spans="1:35" ht="15.95" customHeight="1" x14ac:dyDescent="0.3">
      <c r="A35" s="271"/>
      <c r="B35" s="25"/>
      <c r="C35" s="25"/>
      <c r="D35" s="25"/>
      <c r="E35" s="25"/>
      <c r="F35" s="25"/>
      <c r="G35" s="25"/>
      <c r="H35" s="25"/>
      <c r="I35" s="25"/>
      <c r="J35" s="25"/>
      <c r="K35" s="205" t="s">
        <v>302</v>
      </c>
      <c r="L35" s="159"/>
      <c r="M35" s="159"/>
      <c r="N35" s="159"/>
      <c r="O35" s="159"/>
      <c r="P35" s="159"/>
      <c r="Q35" s="159"/>
      <c r="R35" s="983">
        <v>5</v>
      </c>
      <c r="S35" s="984"/>
      <c r="T35" s="1108" t="s">
        <v>46</v>
      </c>
      <c r="U35" s="1108"/>
      <c r="V35" s="997">
        <v>11000</v>
      </c>
      <c r="W35" s="998"/>
      <c r="X35" s="999"/>
      <c r="Y35" s="832">
        <f t="shared" ref="Y35:Y42" si="3">V35*R35</f>
        <v>55000</v>
      </c>
      <c r="Z35" s="833"/>
      <c r="AA35" s="966"/>
      <c r="AB35" s="138"/>
      <c r="AC35" s="165">
        <v>22000</v>
      </c>
      <c r="AD35" s="165">
        <v>11000</v>
      </c>
      <c r="AE35" s="165">
        <v>11000</v>
      </c>
      <c r="AF35" s="165">
        <v>11000</v>
      </c>
      <c r="AG35" s="165">
        <f t="shared" si="2"/>
        <v>55000</v>
      </c>
      <c r="AH35" s="165">
        <f t="shared" si="1"/>
        <v>0</v>
      </c>
    </row>
    <row r="36" spans="1:35" ht="15.95" customHeight="1" x14ac:dyDescent="0.3">
      <c r="A36" s="271"/>
      <c r="B36" s="25"/>
      <c r="C36" s="25"/>
      <c r="D36" s="25"/>
      <c r="E36" s="25"/>
      <c r="F36" s="25"/>
      <c r="G36" s="25"/>
      <c r="H36" s="25"/>
      <c r="I36" s="25"/>
      <c r="J36" s="25"/>
      <c r="K36" s="107" t="s">
        <v>332</v>
      </c>
      <c r="L36" s="159"/>
      <c r="M36" s="159"/>
      <c r="N36" s="159"/>
      <c r="O36" s="159"/>
      <c r="P36" s="159"/>
      <c r="Q36" s="159"/>
      <c r="R36" s="983">
        <v>8</v>
      </c>
      <c r="S36" s="984"/>
      <c r="T36" s="1108" t="s">
        <v>411</v>
      </c>
      <c r="U36" s="1108"/>
      <c r="V36" s="997">
        <v>18500</v>
      </c>
      <c r="W36" s="998"/>
      <c r="X36" s="999"/>
      <c r="Y36" s="832">
        <f t="shared" si="3"/>
        <v>148000</v>
      </c>
      <c r="Z36" s="833"/>
      <c r="AA36" s="966"/>
      <c r="AB36" s="138"/>
      <c r="AC36" s="165">
        <f>18500*2</f>
        <v>37000</v>
      </c>
      <c r="AD36" s="165">
        <f t="shared" ref="AD36:AF36" si="4">18500*2</f>
        <v>37000</v>
      </c>
      <c r="AE36" s="165">
        <f t="shared" si="4"/>
        <v>37000</v>
      </c>
      <c r="AF36" s="165">
        <f t="shared" si="4"/>
        <v>37000</v>
      </c>
      <c r="AG36" s="165">
        <f t="shared" si="2"/>
        <v>148000</v>
      </c>
      <c r="AH36" s="165">
        <f t="shared" si="1"/>
        <v>0</v>
      </c>
    </row>
    <row r="37" spans="1:35" ht="15.95" customHeight="1" x14ac:dyDescent="0.3">
      <c r="A37" s="271"/>
      <c r="B37" s="25"/>
      <c r="C37" s="25"/>
      <c r="D37" s="25"/>
      <c r="E37" s="25"/>
      <c r="F37" s="25"/>
      <c r="G37" s="25"/>
      <c r="H37" s="25"/>
      <c r="I37" s="25"/>
      <c r="J37" s="25"/>
      <c r="K37" s="107" t="s">
        <v>175</v>
      </c>
      <c r="L37" s="159"/>
      <c r="M37" s="159"/>
      <c r="N37" s="159"/>
      <c r="O37" s="159"/>
      <c r="P37" s="159"/>
      <c r="Q37" s="159"/>
      <c r="R37" s="983">
        <v>3</v>
      </c>
      <c r="S37" s="984"/>
      <c r="T37" s="1108" t="s">
        <v>46</v>
      </c>
      <c r="U37" s="1108"/>
      <c r="V37" s="997">
        <v>15500</v>
      </c>
      <c r="W37" s="998"/>
      <c r="X37" s="999"/>
      <c r="Y37" s="832">
        <f t="shared" si="3"/>
        <v>46500</v>
      </c>
      <c r="Z37" s="833"/>
      <c r="AA37" s="966"/>
      <c r="AB37" s="138"/>
      <c r="AC37" s="165">
        <v>15500</v>
      </c>
      <c r="AD37" s="165"/>
      <c r="AE37" s="165">
        <v>15500</v>
      </c>
      <c r="AF37" s="165">
        <v>15500</v>
      </c>
      <c r="AG37" s="165">
        <f t="shared" si="2"/>
        <v>46500</v>
      </c>
      <c r="AH37" s="165">
        <f t="shared" si="1"/>
        <v>0</v>
      </c>
      <c r="AI37" s="50"/>
    </row>
    <row r="38" spans="1:35" ht="15.95" customHeight="1" x14ac:dyDescent="0.3">
      <c r="A38" s="271"/>
      <c r="B38" s="25"/>
      <c r="C38" s="25"/>
      <c r="D38" s="25"/>
      <c r="E38" s="25"/>
      <c r="F38" s="25"/>
      <c r="G38" s="25"/>
      <c r="H38" s="25"/>
      <c r="I38" s="25"/>
      <c r="J38" s="25"/>
      <c r="K38" s="107" t="s">
        <v>285</v>
      </c>
      <c r="L38" s="159"/>
      <c r="M38" s="159"/>
      <c r="N38" s="159"/>
      <c r="O38" s="159"/>
      <c r="P38" s="159"/>
      <c r="Q38" s="159"/>
      <c r="R38" s="983">
        <v>8</v>
      </c>
      <c r="S38" s="984"/>
      <c r="T38" s="1108" t="s">
        <v>286</v>
      </c>
      <c r="U38" s="1108"/>
      <c r="V38" s="979">
        <v>16500</v>
      </c>
      <c r="W38" s="980"/>
      <c r="X38" s="981"/>
      <c r="Y38" s="832">
        <f t="shared" si="3"/>
        <v>132000</v>
      </c>
      <c r="Z38" s="833"/>
      <c r="AA38" s="966"/>
      <c r="AB38" s="138"/>
      <c r="AC38" s="165">
        <f>16500*2</f>
        <v>33000</v>
      </c>
      <c r="AD38" s="165">
        <f t="shared" ref="AD38:AF38" si="5">16500*2</f>
        <v>33000</v>
      </c>
      <c r="AE38" s="165">
        <f t="shared" si="5"/>
        <v>33000</v>
      </c>
      <c r="AF38" s="165">
        <f t="shared" si="5"/>
        <v>33000</v>
      </c>
      <c r="AG38" s="165">
        <f t="shared" si="2"/>
        <v>132000</v>
      </c>
      <c r="AH38" s="165">
        <f t="shared" si="1"/>
        <v>0</v>
      </c>
    </row>
    <row r="39" spans="1:35" ht="15.95" customHeight="1" x14ac:dyDescent="0.3">
      <c r="A39" s="271"/>
      <c r="B39" s="25"/>
      <c r="C39" s="25"/>
      <c r="D39" s="25"/>
      <c r="E39" s="25"/>
      <c r="F39" s="25"/>
      <c r="G39" s="25"/>
      <c r="H39" s="25"/>
      <c r="I39" s="25"/>
      <c r="J39" s="25"/>
      <c r="K39" s="107" t="s">
        <v>303</v>
      </c>
      <c r="L39" s="159"/>
      <c r="M39" s="159"/>
      <c r="N39" s="159"/>
      <c r="O39" s="159"/>
      <c r="P39" s="159"/>
      <c r="Q39" s="159"/>
      <c r="R39" s="983">
        <v>5</v>
      </c>
      <c r="S39" s="984"/>
      <c r="T39" s="1108" t="s">
        <v>204</v>
      </c>
      <c r="U39" s="1108"/>
      <c r="V39" s="997">
        <v>14500</v>
      </c>
      <c r="W39" s="998"/>
      <c r="X39" s="999"/>
      <c r="Y39" s="832">
        <f t="shared" si="3"/>
        <v>72500</v>
      </c>
      <c r="Z39" s="833"/>
      <c r="AA39" s="966"/>
      <c r="AB39" s="138"/>
      <c r="AC39" s="165">
        <f>14500*2</f>
        <v>29000</v>
      </c>
      <c r="AD39" s="165">
        <v>14500</v>
      </c>
      <c r="AE39" s="165">
        <v>14500</v>
      </c>
      <c r="AF39" s="165">
        <v>14500</v>
      </c>
      <c r="AG39" s="165">
        <f t="shared" si="2"/>
        <v>72500</v>
      </c>
      <c r="AH39" s="165">
        <f t="shared" si="1"/>
        <v>0</v>
      </c>
      <c r="AI39" s="48"/>
    </row>
    <row r="40" spans="1:35" ht="15.95" customHeight="1" x14ac:dyDescent="0.3">
      <c r="A40" s="271"/>
      <c r="B40" s="25"/>
      <c r="C40" s="25"/>
      <c r="D40" s="25"/>
      <c r="E40" s="25"/>
      <c r="F40" s="25"/>
      <c r="G40" s="25"/>
      <c r="H40" s="25"/>
      <c r="I40" s="25"/>
      <c r="J40" s="25"/>
      <c r="K40" s="107" t="s">
        <v>288</v>
      </c>
      <c r="L40" s="159"/>
      <c r="M40" s="159"/>
      <c r="N40" s="159"/>
      <c r="O40" s="159"/>
      <c r="P40" s="159"/>
      <c r="Q40" s="159"/>
      <c r="R40" s="983">
        <v>3</v>
      </c>
      <c r="S40" s="984"/>
      <c r="T40" s="1108" t="s">
        <v>46</v>
      </c>
      <c r="U40" s="1108"/>
      <c r="V40" s="979">
        <v>18500</v>
      </c>
      <c r="W40" s="980"/>
      <c r="X40" s="981"/>
      <c r="Y40" s="832">
        <f t="shared" si="3"/>
        <v>55500</v>
      </c>
      <c r="Z40" s="833"/>
      <c r="AA40" s="966"/>
      <c r="AB40" s="138"/>
      <c r="AC40" s="165">
        <v>18500</v>
      </c>
      <c r="AD40" s="165"/>
      <c r="AE40" s="165">
        <v>18500</v>
      </c>
      <c r="AF40" s="165">
        <v>18500</v>
      </c>
      <c r="AG40" s="165">
        <f t="shared" si="2"/>
        <v>55500</v>
      </c>
      <c r="AH40" s="165">
        <f t="shared" si="1"/>
        <v>0</v>
      </c>
    </row>
    <row r="41" spans="1:35" ht="15.95" customHeight="1" x14ac:dyDescent="0.3">
      <c r="A41" s="271"/>
      <c r="B41" s="25"/>
      <c r="C41" s="25"/>
      <c r="D41" s="25"/>
      <c r="E41" s="25"/>
      <c r="F41" s="25"/>
      <c r="G41" s="25"/>
      <c r="H41" s="25"/>
      <c r="I41" s="25"/>
      <c r="J41" s="25"/>
      <c r="K41" s="107" t="s">
        <v>412</v>
      </c>
      <c r="L41" s="159"/>
      <c r="M41" s="159"/>
      <c r="N41" s="159"/>
      <c r="O41" s="159"/>
      <c r="P41" s="159"/>
      <c r="Q41" s="159"/>
      <c r="R41" s="983">
        <v>2</v>
      </c>
      <c r="S41" s="984"/>
      <c r="T41" s="1108" t="s">
        <v>286</v>
      </c>
      <c r="U41" s="1108"/>
      <c r="V41" s="979">
        <v>11000</v>
      </c>
      <c r="W41" s="980"/>
      <c r="X41" s="981"/>
      <c r="Y41" s="832">
        <f t="shared" si="3"/>
        <v>22000</v>
      </c>
      <c r="Z41" s="833"/>
      <c r="AA41" s="966"/>
      <c r="AB41" s="138"/>
      <c r="AC41" s="165">
        <v>11000</v>
      </c>
      <c r="AD41" s="165">
        <v>0</v>
      </c>
      <c r="AE41" s="165">
        <v>11000</v>
      </c>
      <c r="AF41" s="165"/>
      <c r="AG41" s="165">
        <f t="shared" si="2"/>
        <v>22000</v>
      </c>
      <c r="AH41" s="165">
        <f t="shared" si="1"/>
        <v>0</v>
      </c>
    </row>
    <row r="42" spans="1:35" ht="15.95" customHeight="1" x14ac:dyDescent="0.3">
      <c r="A42" s="271"/>
      <c r="B42" s="25"/>
      <c r="C42" s="25"/>
      <c r="D42" s="25"/>
      <c r="E42" s="25"/>
      <c r="F42" s="25"/>
      <c r="G42" s="25"/>
      <c r="H42" s="25"/>
      <c r="I42" s="25"/>
      <c r="J42" s="25"/>
      <c r="K42" s="107" t="s">
        <v>45</v>
      </c>
      <c r="L42" s="159"/>
      <c r="M42" s="159"/>
      <c r="N42" s="159"/>
      <c r="O42" s="159"/>
      <c r="P42" s="159"/>
      <c r="Q42" s="159"/>
      <c r="R42" s="983">
        <v>2</v>
      </c>
      <c r="S42" s="984"/>
      <c r="T42" s="1108" t="s">
        <v>46</v>
      </c>
      <c r="U42" s="1108"/>
      <c r="V42" s="979">
        <v>21000</v>
      </c>
      <c r="W42" s="980"/>
      <c r="X42" s="981"/>
      <c r="Y42" s="832">
        <f t="shared" si="3"/>
        <v>42000</v>
      </c>
      <c r="Z42" s="833"/>
      <c r="AA42" s="966"/>
      <c r="AB42" s="138"/>
      <c r="AC42" s="165">
        <v>21000</v>
      </c>
      <c r="AD42" s="165"/>
      <c r="AE42" s="165">
        <v>0</v>
      </c>
      <c r="AF42" s="165">
        <v>21000</v>
      </c>
      <c r="AG42" s="165">
        <f t="shared" si="2"/>
        <v>42000</v>
      </c>
      <c r="AH42" s="165">
        <f t="shared" si="1"/>
        <v>0</v>
      </c>
    </row>
    <row r="43" spans="1:35" ht="15.95" customHeight="1" x14ac:dyDescent="0.3">
      <c r="A43" s="271" t="s">
        <v>323</v>
      </c>
      <c r="B43" s="25" t="s">
        <v>323</v>
      </c>
      <c r="C43" s="25" t="s">
        <v>277</v>
      </c>
      <c r="D43" s="25" t="s">
        <v>44</v>
      </c>
      <c r="E43" s="25" t="s">
        <v>94</v>
      </c>
      <c r="F43" s="25" t="s">
        <v>40</v>
      </c>
      <c r="G43" s="25" t="s">
        <v>41</v>
      </c>
      <c r="H43" s="25" t="s">
        <v>41</v>
      </c>
      <c r="I43" s="25" t="s">
        <v>44</v>
      </c>
      <c r="J43" s="25" t="s">
        <v>47</v>
      </c>
      <c r="K43" s="106" t="s">
        <v>48</v>
      </c>
      <c r="L43" s="159"/>
      <c r="M43" s="159"/>
      <c r="N43" s="159"/>
      <c r="O43" s="159"/>
      <c r="P43" s="159"/>
      <c r="Q43" s="159"/>
      <c r="R43" s="983"/>
      <c r="S43" s="984"/>
      <c r="T43" s="1108"/>
      <c r="U43" s="1108"/>
      <c r="V43" s="997"/>
      <c r="W43" s="998"/>
      <c r="X43" s="999"/>
      <c r="Y43" s="832">
        <f>Y44</f>
        <v>300000</v>
      </c>
      <c r="Z43" s="833"/>
      <c r="AA43" s="966"/>
      <c r="AB43" s="138"/>
      <c r="AC43" s="167"/>
      <c r="AD43" s="167"/>
      <c r="AE43" s="167"/>
      <c r="AF43" s="167"/>
      <c r="AG43" s="165">
        <f t="shared" si="2"/>
        <v>0</v>
      </c>
      <c r="AH43" s="165">
        <f t="shared" si="1"/>
        <v>300000</v>
      </c>
      <c r="AI43" s="51"/>
    </row>
    <row r="44" spans="1:35" ht="15.95" customHeight="1" x14ac:dyDescent="0.3">
      <c r="A44" s="274"/>
      <c r="B44" s="69"/>
      <c r="C44" s="69"/>
      <c r="D44" s="69"/>
      <c r="E44" s="69"/>
      <c r="F44" s="69"/>
      <c r="G44" s="69"/>
      <c r="H44" s="25"/>
      <c r="I44" s="25"/>
      <c r="J44" s="25"/>
      <c r="K44" s="55" t="s">
        <v>268</v>
      </c>
      <c r="L44" s="57"/>
      <c r="M44" s="57"/>
      <c r="N44" s="57"/>
      <c r="O44" s="57"/>
      <c r="P44" s="57"/>
      <c r="Q44" s="94"/>
      <c r="R44" s="1065">
        <v>15</v>
      </c>
      <c r="S44" s="1066"/>
      <c r="T44" s="1121" t="s">
        <v>174</v>
      </c>
      <c r="U44" s="1121"/>
      <c r="V44" s="1000">
        <v>20000</v>
      </c>
      <c r="W44" s="1001"/>
      <c r="X44" s="1002"/>
      <c r="Y44" s="1088">
        <f>V44*R44</f>
        <v>300000</v>
      </c>
      <c r="Z44" s="1089"/>
      <c r="AA44" s="1090"/>
      <c r="AC44" s="167">
        <f>4*20000</f>
        <v>80000</v>
      </c>
      <c r="AD44" s="167">
        <f>4*20000</f>
        <v>80000</v>
      </c>
      <c r="AE44" s="167">
        <f>4*20000</f>
        <v>80000</v>
      </c>
      <c r="AF44" s="167">
        <f>3*20000</f>
        <v>60000</v>
      </c>
      <c r="AG44" s="165">
        <f t="shared" si="2"/>
        <v>300000</v>
      </c>
      <c r="AH44" s="165">
        <f t="shared" si="1"/>
        <v>0</v>
      </c>
    </row>
    <row r="45" spans="1:35" ht="15.75" customHeight="1" x14ac:dyDescent="0.2">
      <c r="A45" s="300"/>
      <c r="B45" s="71"/>
      <c r="C45" s="71"/>
      <c r="D45" s="71"/>
      <c r="E45" s="71"/>
      <c r="F45" s="71"/>
      <c r="G45" s="71"/>
      <c r="H45" s="71"/>
      <c r="I45" s="71"/>
      <c r="J45" s="71"/>
      <c r="K45" s="32"/>
      <c r="L45" s="32"/>
      <c r="M45" s="32"/>
      <c r="N45" s="32"/>
      <c r="O45" s="32"/>
      <c r="P45" s="32"/>
      <c r="Q45" s="49"/>
      <c r="R45" s="1120"/>
      <c r="S45" s="1120"/>
      <c r="T45" s="1119"/>
      <c r="U45" s="1119"/>
      <c r="V45" s="1112" t="s">
        <v>28</v>
      </c>
      <c r="W45" s="1112"/>
      <c r="X45" s="1113"/>
      <c r="Y45" s="1122">
        <f>Y24</f>
        <v>1346000</v>
      </c>
      <c r="Z45" s="1123"/>
      <c r="AA45" s="1124"/>
      <c r="AC45" s="331">
        <f>AC44+AC30+AC29+AC28</f>
        <v>624000</v>
      </c>
      <c r="AD45" s="331">
        <f>AD44+AD30</f>
        <v>216500</v>
      </c>
      <c r="AE45" s="331">
        <f>AE44+AE30</f>
        <v>254000</v>
      </c>
      <c r="AF45" s="331">
        <f>AF44+AF30</f>
        <v>251500</v>
      </c>
      <c r="AG45" s="331">
        <f>AG44+AG30+AG28+AG29</f>
        <v>1346000</v>
      </c>
      <c r="AH45" s="331">
        <f>AH44+AH30</f>
        <v>0</v>
      </c>
      <c r="AI45" s="51"/>
    </row>
    <row r="46" spans="1:35" ht="15.95" hidden="1" customHeight="1" x14ac:dyDescent="0.3">
      <c r="A46" s="274"/>
      <c r="B46" s="69"/>
      <c r="C46" s="69"/>
      <c r="D46" s="69"/>
      <c r="E46" s="69"/>
      <c r="F46" s="69"/>
      <c r="G46" s="69"/>
      <c r="H46" s="25"/>
      <c r="I46" s="25"/>
      <c r="J46" s="25"/>
      <c r="K46" s="134"/>
      <c r="L46" s="135"/>
      <c r="M46" s="135"/>
      <c r="N46" s="135"/>
      <c r="O46" s="135"/>
      <c r="P46" s="135"/>
      <c r="Q46" s="135"/>
      <c r="R46" s="692"/>
      <c r="S46" s="693"/>
      <c r="T46" s="699"/>
      <c r="U46" s="699"/>
      <c r="V46" s="694"/>
      <c r="W46" s="695"/>
      <c r="X46" s="696"/>
      <c r="Y46" s="697"/>
      <c r="Z46" s="698"/>
      <c r="AA46" s="326"/>
      <c r="AC46" s="167"/>
      <c r="AD46" s="167"/>
      <c r="AE46" s="167"/>
      <c r="AF46" s="167"/>
      <c r="AG46" s="167"/>
      <c r="AH46" s="167"/>
      <c r="AI46" s="167"/>
    </row>
    <row r="47" spans="1:35" ht="15.95" hidden="1" customHeight="1" x14ac:dyDescent="0.3">
      <c r="A47" s="274"/>
      <c r="B47" s="69"/>
      <c r="C47" s="69"/>
      <c r="D47" s="69"/>
      <c r="E47" s="69"/>
      <c r="F47" s="69"/>
      <c r="G47" s="69"/>
      <c r="H47" s="25"/>
      <c r="I47" s="25"/>
      <c r="J47" s="25"/>
      <c r="K47" s="134"/>
      <c r="L47" s="135"/>
      <c r="M47" s="135"/>
      <c r="N47" s="135"/>
      <c r="O47" s="135"/>
      <c r="P47" s="135"/>
      <c r="Q47" s="135"/>
      <c r="R47" s="983"/>
      <c r="S47" s="984"/>
      <c r="T47" s="983"/>
      <c r="U47" s="984"/>
      <c r="V47" s="997"/>
      <c r="W47" s="998"/>
      <c r="X47" s="999"/>
      <c r="Y47" s="832"/>
      <c r="Z47" s="833"/>
      <c r="AA47" s="966"/>
      <c r="AC47" s="167"/>
      <c r="AD47" s="167"/>
      <c r="AE47" s="167"/>
      <c r="AF47" s="167"/>
      <c r="AG47" s="167"/>
      <c r="AH47" s="167"/>
      <c r="AI47" s="167"/>
    </row>
    <row r="48" spans="1:35" ht="15" customHeight="1" x14ac:dyDescent="0.2">
      <c r="A48" s="277"/>
      <c r="B48" s="16" t="s">
        <v>306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67"/>
      <c r="AC48" s="48"/>
      <c r="AD48" s="48"/>
      <c r="AE48" s="138"/>
      <c r="AF48" s="138"/>
      <c r="AG48" s="138"/>
      <c r="AH48" s="138"/>
    </row>
    <row r="49" spans="1:40" ht="18.75" customHeight="1" x14ac:dyDescent="0.2">
      <c r="A49" s="278"/>
      <c r="B49" s="13" t="s">
        <v>29</v>
      </c>
      <c r="C49" s="27"/>
      <c r="D49" s="13"/>
      <c r="E49" s="13"/>
      <c r="F49" s="40" t="s">
        <v>89</v>
      </c>
      <c r="G49" s="1111">
        <f>AC45</f>
        <v>624000</v>
      </c>
      <c r="H49" s="1111"/>
      <c r="I49" s="1111"/>
      <c r="J49" s="1111"/>
      <c r="K49" s="13"/>
      <c r="L49" s="13"/>
      <c r="M49" s="13"/>
      <c r="N49" s="13"/>
      <c r="O49" s="28"/>
      <c r="P49" s="28"/>
      <c r="Q49" s="28"/>
      <c r="R49" s="28"/>
      <c r="S49" s="28"/>
      <c r="T49" s="28"/>
      <c r="U49" s="679" t="str">
        <f>listrik!U38</f>
        <v>CAMAT SUKOHARJO</v>
      </c>
      <c r="V49" s="13"/>
      <c r="W49" s="679"/>
      <c r="X49" s="13"/>
      <c r="Y49" s="13"/>
      <c r="Z49" s="13"/>
      <c r="AA49" s="279"/>
      <c r="AE49" s="138"/>
      <c r="AF49" s="138"/>
      <c r="AG49" s="164"/>
      <c r="AH49" s="138"/>
      <c r="AI49" s="48" t="e">
        <f>SUM(#REF!)</f>
        <v>#REF!</v>
      </c>
    </row>
    <row r="50" spans="1:40" ht="16.5" customHeight="1" x14ac:dyDescent="0.2">
      <c r="A50" s="278"/>
      <c r="B50" s="13" t="s">
        <v>30</v>
      </c>
      <c r="C50" s="27"/>
      <c r="D50" s="13"/>
      <c r="E50" s="13"/>
      <c r="F50" s="40" t="s">
        <v>89</v>
      </c>
      <c r="G50" s="1110">
        <f>AD45</f>
        <v>216500</v>
      </c>
      <c r="H50" s="1110"/>
      <c r="I50" s="1110"/>
      <c r="J50" s="1110"/>
      <c r="K50" s="13"/>
      <c r="L50" s="13"/>
      <c r="M50" s="13"/>
      <c r="N50" s="13"/>
      <c r="O50" s="28"/>
      <c r="P50" s="28"/>
      <c r="Q50" s="28"/>
      <c r="R50" s="28"/>
      <c r="S50" s="28"/>
      <c r="T50" s="28"/>
      <c r="U50" s="679"/>
      <c r="V50" s="13"/>
      <c r="W50" s="679"/>
      <c r="X50" s="13"/>
      <c r="Y50" s="13"/>
      <c r="Z50" s="13"/>
      <c r="AA50" s="279"/>
      <c r="AE50" s="138"/>
      <c r="AF50" s="138"/>
      <c r="AG50" s="164"/>
      <c r="AH50" s="138"/>
      <c r="AJ50" s="51"/>
    </row>
    <row r="51" spans="1:40" ht="15.75" customHeight="1" x14ac:dyDescent="0.2">
      <c r="A51" s="278"/>
      <c r="B51" s="13" t="s">
        <v>31</v>
      </c>
      <c r="C51" s="27"/>
      <c r="D51" s="13"/>
      <c r="E51" s="13"/>
      <c r="F51" s="40" t="s">
        <v>89</v>
      </c>
      <c r="G51" s="1110">
        <f>AE45</f>
        <v>254000</v>
      </c>
      <c r="H51" s="1110"/>
      <c r="I51" s="1110"/>
      <c r="J51" s="1110"/>
      <c r="K51" s="13"/>
      <c r="L51" s="13"/>
      <c r="M51" s="13"/>
      <c r="N51" s="13"/>
      <c r="O51" s="28"/>
      <c r="P51" s="28"/>
      <c r="Q51" s="28"/>
      <c r="R51" s="28"/>
      <c r="S51" s="28"/>
      <c r="T51" s="28"/>
      <c r="U51" s="679"/>
      <c r="V51" s="13"/>
      <c r="W51" s="679"/>
      <c r="X51" s="13"/>
      <c r="Y51" s="13"/>
      <c r="Z51" s="13"/>
      <c r="AA51" s="279"/>
      <c r="AG51" s="48"/>
    </row>
    <row r="52" spans="1:40" ht="15" customHeight="1" x14ac:dyDescent="0.2">
      <c r="A52" s="278"/>
      <c r="B52" s="13" t="s">
        <v>32</v>
      </c>
      <c r="C52" s="30"/>
      <c r="D52" s="29"/>
      <c r="E52" s="13"/>
      <c r="F52" s="40" t="s">
        <v>89</v>
      </c>
      <c r="G52" s="1109">
        <f>AF45</f>
        <v>251500</v>
      </c>
      <c r="H52" s="1109"/>
      <c r="I52" s="1109"/>
      <c r="J52" s="1109"/>
      <c r="K52" s="13"/>
      <c r="L52" s="13"/>
      <c r="M52" s="13"/>
      <c r="N52" s="13"/>
      <c r="O52" s="31"/>
      <c r="P52" s="31"/>
      <c r="Q52" s="31"/>
      <c r="R52" s="31"/>
      <c r="S52" s="31"/>
      <c r="T52" s="31"/>
      <c r="U52" s="679"/>
      <c r="V52" s="13"/>
      <c r="W52" s="52"/>
      <c r="X52" s="13"/>
      <c r="Y52" s="13"/>
      <c r="Z52" s="13"/>
      <c r="AA52" s="279"/>
    </row>
    <row r="53" spans="1:40" ht="18.75" customHeight="1" thickBot="1" x14ac:dyDescent="0.25">
      <c r="A53" s="278"/>
      <c r="B53" s="13"/>
      <c r="C53" s="13"/>
      <c r="D53" s="62" t="s">
        <v>28</v>
      </c>
      <c r="E53" s="13"/>
      <c r="F53" s="40" t="s">
        <v>89</v>
      </c>
      <c r="G53" s="877">
        <f>SUM(G49:J52)</f>
        <v>1346000</v>
      </c>
      <c r="H53" s="877"/>
      <c r="I53" s="877"/>
      <c r="J53" s="87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52" t="str">
        <f>listrik!U42</f>
        <v>DUDI WARDOYO, AP, M.M</v>
      </c>
      <c r="V53" s="13"/>
      <c r="W53" s="679"/>
      <c r="X53" s="13"/>
      <c r="Y53" s="34"/>
      <c r="Z53" s="34"/>
      <c r="AA53" s="280"/>
    </row>
    <row r="54" spans="1:40" ht="13.5" customHeight="1" thickTop="1" x14ac:dyDescent="0.2">
      <c r="A54" s="278"/>
      <c r="B54" s="13"/>
      <c r="C54" s="13"/>
      <c r="D54" s="62"/>
      <c r="E54" s="13"/>
      <c r="F54" s="40"/>
      <c r="G54" s="622"/>
      <c r="H54" s="622"/>
      <c r="I54" s="622"/>
      <c r="J54" s="62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679" t="str">
        <f>listrik!U43</f>
        <v>Pembina Tk. I</v>
      </c>
      <c r="V54" s="13"/>
      <c r="W54" s="679"/>
      <c r="X54" s="13"/>
      <c r="Y54" s="34"/>
      <c r="Z54" s="34"/>
      <c r="AA54" s="280"/>
    </row>
    <row r="55" spans="1:40" ht="12" customHeight="1" x14ac:dyDescent="0.2">
      <c r="A55" s="28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679" t="str">
        <f>listrik!U44</f>
        <v>NIP. 19741009 199311 1 001</v>
      </c>
      <c r="V55" s="10"/>
      <c r="W55" s="679"/>
      <c r="X55" s="10"/>
      <c r="Y55" s="10"/>
      <c r="Z55" s="10"/>
      <c r="AA55" s="282"/>
    </row>
    <row r="56" spans="1:40" s="138" customFormat="1" ht="18.75" customHeight="1" x14ac:dyDescent="0.2">
      <c r="A56" s="865" t="s">
        <v>194</v>
      </c>
      <c r="B56" s="866"/>
      <c r="C56" s="866"/>
      <c r="D56" s="866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R56" s="866"/>
      <c r="S56" s="519"/>
      <c r="T56" s="520"/>
      <c r="U56" s="520"/>
      <c r="V56" s="520"/>
      <c r="W56" s="520"/>
      <c r="X56" s="520"/>
      <c r="Y56" s="520"/>
      <c r="Z56" s="520"/>
      <c r="AA56" s="521"/>
      <c r="AE56" s="136"/>
      <c r="AF56" s="136"/>
      <c r="AI56" s="136"/>
      <c r="AK56" s="136"/>
      <c r="AN56" s="136"/>
    </row>
    <row r="57" spans="1:40" s="138" customFormat="1" ht="2.25" customHeight="1" x14ac:dyDescent="0.2">
      <c r="A57" s="382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516"/>
      <c r="T57" s="151"/>
      <c r="U57" s="151"/>
      <c r="V57" s="151"/>
      <c r="W57" s="151"/>
      <c r="X57" s="151"/>
      <c r="Y57" s="151"/>
      <c r="Z57" s="151"/>
      <c r="AA57" s="518"/>
      <c r="AE57" s="136"/>
      <c r="AF57" s="136"/>
      <c r="AI57" s="136"/>
      <c r="AK57" s="136"/>
      <c r="AN57" s="136"/>
    </row>
    <row r="58" spans="1:40" ht="13.5" customHeight="1" x14ac:dyDescent="0.2">
      <c r="A58" s="27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2"/>
      <c r="T58" s="13"/>
      <c r="U58" s="13"/>
      <c r="V58" s="13"/>
      <c r="W58" s="679" t="str">
        <f>listrik!W47</f>
        <v>Wonosobo,        Januari 2019</v>
      </c>
      <c r="X58" s="13"/>
      <c r="Y58" s="13"/>
      <c r="Z58" s="13"/>
      <c r="AA58" s="279"/>
      <c r="AB58" s="33"/>
      <c r="AC58" s="33"/>
      <c r="AD58" s="33"/>
      <c r="AE58" s="33"/>
      <c r="AF58" s="33"/>
      <c r="AG58" s="33"/>
      <c r="AH58" s="33"/>
      <c r="AI58" s="33"/>
    </row>
    <row r="59" spans="1:40" ht="0.75" customHeight="1" x14ac:dyDescent="0.2">
      <c r="A59" s="27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2"/>
      <c r="T59" s="13"/>
      <c r="U59" s="13"/>
      <c r="V59" s="13"/>
      <c r="W59" s="679"/>
      <c r="X59" s="13"/>
      <c r="Y59" s="13"/>
      <c r="Z59" s="13"/>
      <c r="AA59" s="279"/>
      <c r="AB59" s="33"/>
      <c r="AC59" s="33"/>
      <c r="AD59" s="33"/>
      <c r="AE59" s="33"/>
      <c r="AF59" s="33"/>
      <c r="AG59" s="33"/>
      <c r="AH59" s="33"/>
      <c r="AI59" s="33"/>
    </row>
    <row r="60" spans="1:40" ht="12.75" customHeight="1" x14ac:dyDescent="0.2">
      <c r="A60" s="283"/>
      <c r="B60" s="26" t="s">
        <v>34</v>
      </c>
      <c r="C60" s="13" t="str">
        <f>listrik!C49</f>
        <v>RIDWAN SETIA N, S.Kom</v>
      </c>
      <c r="D60" s="13"/>
      <c r="E60" s="13"/>
      <c r="F60" s="44"/>
      <c r="G60" s="13"/>
      <c r="H60" s="13"/>
      <c r="I60" s="13"/>
      <c r="J60" s="13"/>
      <c r="K60" s="64" t="s">
        <v>34</v>
      </c>
      <c r="L60" s="47" t="s">
        <v>294</v>
      </c>
      <c r="M60" s="47"/>
      <c r="N60" s="47"/>
      <c r="O60" s="47"/>
      <c r="P60" s="13"/>
      <c r="Q60" s="13"/>
      <c r="R60" s="47"/>
      <c r="S60" s="522"/>
      <c r="T60" s="47"/>
      <c r="U60" s="13"/>
      <c r="V60" s="13"/>
      <c r="W60" s="679" t="s">
        <v>33</v>
      </c>
      <c r="X60" s="13"/>
      <c r="Y60" s="13"/>
      <c r="Z60" s="13"/>
      <c r="AA60" s="279"/>
      <c r="AB60" s="33"/>
      <c r="AC60" s="33"/>
      <c r="AD60" s="33"/>
      <c r="AE60" s="33"/>
      <c r="AF60" s="33"/>
      <c r="AG60" s="33"/>
      <c r="AH60" s="33"/>
      <c r="AI60" s="33"/>
    </row>
    <row r="61" spans="1:40" ht="12.75" customHeight="1" x14ac:dyDescent="0.2">
      <c r="A61" s="283"/>
      <c r="B61" s="26"/>
      <c r="C61" s="13"/>
      <c r="D61" s="13"/>
      <c r="E61" s="13"/>
      <c r="F61" s="4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2"/>
      <c r="T61" s="13"/>
      <c r="U61" s="13"/>
      <c r="V61" s="13"/>
      <c r="W61" s="679" t="s">
        <v>85</v>
      </c>
      <c r="X61" s="13"/>
      <c r="Y61" s="13"/>
      <c r="Z61" s="13"/>
      <c r="AA61" s="279"/>
    </row>
    <row r="62" spans="1:40" ht="16.5" customHeight="1" x14ac:dyDescent="0.2">
      <c r="A62" s="283"/>
      <c r="B62" s="13"/>
      <c r="C62" s="13"/>
      <c r="D62" s="13"/>
      <c r="E62" s="13"/>
      <c r="F62" s="44"/>
      <c r="G62" s="13"/>
      <c r="H62" s="13"/>
      <c r="I62" s="13"/>
      <c r="J62" s="13"/>
      <c r="K62" s="47"/>
      <c r="L62" s="47"/>
      <c r="M62" s="64"/>
      <c r="N62" s="13"/>
      <c r="O62" s="13"/>
      <c r="P62" s="13"/>
      <c r="Q62" s="13"/>
      <c r="R62" s="47"/>
      <c r="S62" s="522"/>
      <c r="T62" s="47"/>
      <c r="U62" s="13"/>
      <c r="V62" s="13"/>
      <c r="W62" s="65"/>
      <c r="X62" s="13"/>
      <c r="Y62" s="13"/>
      <c r="Z62" s="13"/>
      <c r="AA62" s="279"/>
    </row>
    <row r="63" spans="1:40" ht="10.5" customHeight="1" x14ac:dyDescent="0.2">
      <c r="A63" s="278"/>
      <c r="B63" s="26" t="s">
        <v>35</v>
      </c>
      <c r="C63" s="13" t="str">
        <f>listrik!C52</f>
        <v>SABAR KHOIRI</v>
      </c>
      <c r="D63" s="44"/>
      <c r="E63" s="44"/>
      <c r="F63" s="13"/>
      <c r="G63" s="13"/>
      <c r="H63" s="13"/>
      <c r="I63" s="13"/>
      <c r="J63" s="13"/>
      <c r="K63" s="64" t="s">
        <v>35</v>
      </c>
      <c r="L63" s="47" t="s">
        <v>310</v>
      </c>
      <c r="M63" s="44"/>
      <c r="N63" s="44"/>
      <c r="O63" s="44"/>
      <c r="P63" s="13"/>
      <c r="Q63" s="13"/>
      <c r="R63" s="44"/>
      <c r="S63" s="46"/>
      <c r="T63" s="44"/>
      <c r="U63" s="44"/>
      <c r="V63" s="44"/>
      <c r="W63" s="679"/>
      <c r="X63" s="44"/>
      <c r="Y63" s="44"/>
      <c r="Z63" s="44"/>
      <c r="AA63" s="284"/>
    </row>
    <row r="64" spans="1:40" s="33" customFormat="1" ht="18.75" customHeight="1" x14ac:dyDescent="0.2">
      <c r="A64" s="285"/>
      <c r="B64" s="26"/>
      <c r="C64" s="13"/>
      <c r="D64" s="13"/>
      <c r="E64" s="13"/>
      <c r="F64" s="679"/>
      <c r="G64" s="679"/>
      <c r="H64" s="679"/>
      <c r="I64" s="679"/>
      <c r="J64" s="679"/>
      <c r="K64" s="64"/>
      <c r="L64" s="47"/>
      <c r="M64" s="679"/>
      <c r="N64" s="679"/>
      <c r="O64" s="679"/>
      <c r="P64" s="679"/>
      <c r="Q64" s="679"/>
      <c r="R64" s="679"/>
      <c r="S64" s="36"/>
      <c r="T64" s="679"/>
      <c r="U64" s="66"/>
      <c r="V64" s="66"/>
      <c r="W64" s="52" t="str">
        <f>listrik!W53</f>
        <v>Drs. M. KRISTIJADI, M.Si</v>
      </c>
      <c r="X64" s="66"/>
      <c r="Y64" s="66"/>
      <c r="Z64" s="13"/>
      <c r="AA64" s="279"/>
      <c r="AB64" s="15"/>
      <c r="AC64" s="15"/>
      <c r="AD64" s="15"/>
      <c r="AE64" s="15"/>
      <c r="AF64" s="15"/>
      <c r="AG64" s="15"/>
      <c r="AH64" s="15"/>
      <c r="AI64" s="15"/>
    </row>
    <row r="65" spans="1:35" s="33" customFormat="1" ht="12" customHeight="1" x14ac:dyDescent="0.2">
      <c r="A65" s="285"/>
      <c r="B65" s="26"/>
      <c r="C65" s="13"/>
      <c r="D65" s="13"/>
      <c r="E65" s="13"/>
      <c r="F65" s="679"/>
      <c r="G65" s="679"/>
      <c r="H65" s="679"/>
      <c r="I65" s="64"/>
      <c r="J65" s="47"/>
      <c r="K65" s="679"/>
      <c r="L65" s="679"/>
      <c r="M65" s="679"/>
      <c r="N65" s="679"/>
      <c r="O65" s="679"/>
      <c r="P65" s="679"/>
      <c r="Q65" s="679"/>
      <c r="R65" s="679"/>
      <c r="S65" s="36"/>
      <c r="T65" s="679"/>
      <c r="U65" s="66"/>
      <c r="V65" s="66"/>
      <c r="W65" s="679" t="str">
        <f>listrik!W54</f>
        <v>Pembina Utama Muda</v>
      </c>
      <c r="X65" s="66"/>
      <c r="Y65" s="66"/>
      <c r="Z65" s="13"/>
      <c r="AA65" s="279"/>
      <c r="AB65" s="15"/>
      <c r="AC65" s="15"/>
      <c r="AD65" s="15"/>
      <c r="AE65" s="15"/>
      <c r="AF65" s="15"/>
      <c r="AG65" s="15"/>
      <c r="AH65" s="15"/>
      <c r="AI65" s="15"/>
    </row>
    <row r="66" spans="1:35" s="33" customFormat="1" ht="14.25" customHeight="1" x14ac:dyDescent="0.2">
      <c r="A66" s="285"/>
      <c r="B66" s="679"/>
      <c r="C66" s="679"/>
      <c r="D66" s="679"/>
      <c r="E66" s="679"/>
      <c r="F66" s="679"/>
      <c r="G66" s="26"/>
      <c r="H66" s="13"/>
      <c r="I66" s="13"/>
      <c r="J66" s="13"/>
      <c r="K66" s="679"/>
      <c r="L66" s="679"/>
      <c r="M66" s="679"/>
      <c r="N66" s="64"/>
      <c r="O66" s="47"/>
      <c r="P66" s="679"/>
      <c r="Q66" s="679"/>
      <c r="R66" s="679"/>
      <c r="S66" s="36"/>
      <c r="T66" s="679"/>
      <c r="U66" s="66"/>
      <c r="V66" s="66"/>
      <c r="W66" s="679" t="str">
        <f>listrik!W55</f>
        <v>NIP. 19681226 199403 1 005</v>
      </c>
      <c r="X66" s="66"/>
      <c r="Y66" s="66"/>
      <c r="Z66" s="13"/>
      <c r="AA66" s="279"/>
      <c r="AB66" s="15"/>
      <c r="AC66" s="15"/>
      <c r="AD66" s="15"/>
      <c r="AE66" s="15"/>
      <c r="AF66" s="15"/>
      <c r="AG66" s="15"/>
      <c r="AH66" s="15"/>
      <c r="AI66" s="15"/>
    </row>
    <row r="67" spans="1:35" ht="4.5" customHeight="1" thickBot="1" x14ac:dyDescent="0.25">
      <c r="A67" s="286"/>
      <c r="B67" s="287"/>
      <c r="C67" s="287"/>
      <c r="D67" s="287"/>
      <c r="E67" s="287"/>
      <c r="F67" s="287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524"/>
      <c r="T67" s="288"/>
      <c r="U67" s="288"/>
      <c r="V67" s="288"/>
      <c r="W67" s="289"/>
      <c r="X67" s="288"/>
      <c r="Y67" s="288"/>
      <c r="Z67" s="288"/>
      <c r="AA67" s="290"/>
    </row>
    <row r="68" spans="1:35" ht="4.5" customHeight="1" thickTop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3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3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</sheetData>
  <mergeCells count="123">
    <mergeCell ref="R44:S44"/>
    <mergeCell ref="T44:U44"/>
    <mergeCell ref="A21:J22"/>
    <mergeCell ref="K23:Q23"/>
    <mergeCell ref="Y45:AA45"/>
    <mergeCell ref="Y44:AA44"/>
    <mergeCell ref="T33:U33"/>
    <mergeCell ref="V22:X22"/>
    <mergeCell ref="T25:U25"/>
    <mergeCell ref="V33:X33"/>
    <mergeCell ref="T30:U30"/>
    <mergeCell ref="R24:S24"/>
    <mergeCell ref="V24:X24"/>
    <mergeCell ref="R32:S32"/>
    <mergeCell ref="R33:S33"/>
    <mergeCell ref="T43:U43"/>
    <mergeCell ref="Y41:AA41"/>
    <mergeCell ref="Y40:AA40"/>
    <mergeCell ref="Y39:AA39"/>
    <mergeCell ref="R37:S37"/>
    <mergeCell ref="R39:S39"/>
    <mergeCell ref="T38:U38"/>
    <mergeCell ref="T35:U35"/>
    <mergeCell ref="V44:X44"/>
    <mergeCell ref="R47:S47"/>
    <mergeCell ref="T39:U39"/>
    <mergeCell ref="R35:S35"/>
    <mergeCell ref="V39:X39"/>
    <mergeCell ref="A1:Q1"/>
    <mergeCell ref="T45:U45"/>
    <mergeCell ref="R43:S43"/>
    <mergeCell ref="R45:S45"/>
    <mergeCell ref="V32:X32"/>
    <mergeCell ref="R21:X21"/>
    <mergeCell ref="R22:S22"/>
    <mergeCell ref="T22:U22"/>
    <mergeCell ref="V41:X41"/>
    <mergeCell ref="R40:S40"/>
    <mergeCell ref="T40:U40"/>
    <mergeCell ref="T41:U41"/>
    <mergeCell ref="K21:Q22"/>
    <mergeCell ref="R25:S25"/>
    <mergeCell ref="V30:X30"/>
    <mergeCell ref="R23:S23"/>
    <mergeCell ref="R34:S34"/>
    <mergeCell ref="T37:U37"/>
    <mergeCell ref="R38:S38"/>
    <mergeCell ref="T32:U32"/>
    <mergeCell ref="T26:U26"/>
    <mergeCell ref="V26:X26"/>
    <mergeCell ref="Y26:AA26"/>
    <mergeCell ref="Y28:AA28"/>
    <mergeCell ref="A2:Q2"/>
    <mergeCell ref="A3:AA3"/>
    <mergeCell ref="Y17:AA17"/>
    <mergeCell ref="Y1:AA2"/>
    <mergeCell ref="Y13:AA13"/>
    <mergeCell ref="Y14:AA14"/>
    <mergeCell ref="G13:X13"/>
    <mergeCell ref="A4:AA4"/>
    <mergeCell ref="R1:X1"/>
    <mergeCell ref="Y16:AA16"/>
    <mergeCell ref="R28:S28"/>
    <mergeCell ref="R29:S29"/>
    <mergeCell ref="Y27:AA27"/>
    <mergeCell ref="Y33:AA33"/>
    <mergeCell ref="Y31:AA31"/>
    <mergeCell ref="T34:U34"/>
    <mergeCell ref="M5:AA5"/>
    <mergeCell ref="T23:U23"/>
    <mergeCell ref="R30:S30"/>
    <mergeCell ref="T24:U24"/>
    <mergeCell ref="V23:X23"/>
    <mergeCell ref="A12:AA12"/>
    <mergeCell ref="A13:F13"/>
    <mergeCell ref="Y15:AA15"/>
    <mergeCell ref="Y23:AA23"/>
    <mergeCell ref="Y24:AA24"/>
    <mergeCell ref="Y30:AA30"/>
    <mergeCell ref="V25:X25"/>
    <mergeCell ref="V34:X34"/>
    <mergeCell ref="A20:AA20"/>
    <mergeCell ref="Y34:AA34"/>
    <mergeCell ref="Y21:AA22"/>
    <mergeCell ref="A23:J23"/>
    <mergeCell ref="A19:AA19"/>
    <mergeCell ref="R26:S26"/>
    <mergeCell ref="Y36:AA36"/>
    <mergeCell ref="V38:X38"/>
    <mergeCell ref="V35:X35"/>
    <mergeCell ref="Y32:AA32"/>
    <mergeCell ref="V36:X36"/>
    <mergeCell ref="V37:X37"/>
    <mergeCell ref="Y37:AA37"/>
    <mergeCell ref="Y29:AA29"/>
    <mergeCell ref="T28:U28"/>
    <mergeCell ref="T29:U29"/>
    <mergeCell ref="V28:X28"/>
    <mergeCell ref="V29:X29"/>
    <mergeCell ref="AD25:AE25"/>
    <mergeCell ref="A56:R56"/>
    <mergeCell ref="T36:U36"/>
    <mergeCell ref="R36:S36"/>
    <mergeCell ref="R42:S42"/>
    <mergeCell ref="Y42:AA42"/>
    <mergeCell ref="V40:X40"/>
    <mergeCell ref="R41:S41"/>
    <mergeCell ref="G53:J53"/>
    <mergeCell ref="G52:J52"/>
    <mergeCell ref="G51:J51"/>
    <mergeCell ref="G50:J50"/>
    <mergeCell ref="G49:J49"/>
    <mergeCell ref="V47:X47"/>
    <mergeCell ref="V42:X42"/>
    <mergeCell ref="V45:X45"/>
    <mergeCell ref="T42:U42"/>
    <mergeCell ref="V43:X43"/>
    <mergeCell ref="T47:U47"/>
    <mergeCell ref="Y47:AA47"/>
    <mergeCell ref="Y43:AA43"/>
    <mergeCell ref="Y38:AA38"/>
    <mergeCell ref="Y25:AA25"/>
    <mergeCell ref="Y35:AA35"/>
  </mergeCells>
  <phoneticPr fontId="2" type="noConversion"/>
  <printOptions horizontalCentered="1"/>
  <pageMargins left="0.35433070866141736" right="0.11811023622047245" top="0.47244094488188981" bottom="1.3779527559055118" header="0" footer="0.51181102362204722"/>
  <pageSetup paperSize="5" scale="85" orientation="portrait" horizontalDpi="4294967292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CVR</vt:lpstr>
      <vt:lpstr>RINGKSAN</vt:lpstr>
      <vt:lpstr>RKP</vt:lpstr>
      <vt:lpstr>Litrik</vt:lpstr>
      <vt:lpstr>Hon Keu</vt:lpstr>
      <vt:lpstr>ATK</vt:lpstr>
      <vt:lpstr>cetak</vt:lpstr>
      <vt:lpstr>listrik</vt:lpstr>
      <vt:lpstr>alat kbersihan</vt:lpstr>
      <vt:lpstr>Koran</vt:lpstr>
      <vt:lpstr>makan</vt:lpstr>
      <vt:lpstr>Perj.Din. LD</vt:lpstr>
      <vt:lpstr>Perj.Din. DD</vt:lpstr>
      <vt:lpstr>PHL</vt:lpstr>
      <vt:lpstr>rumdin</vt:lpstr>
      <vt:lpstr>Ged.K</vt:lpstr>
      <vt:lpstr>Kend</vt:lpstr>
      <vt:lpstr>alat.k</vt:lpstr>
      <vt:lpstr>Pel.Um</vt:lpstr>
      <vt:lpstr>'alat kbersihan'!Print_Area</vt:lpstr>
      <vt:lpstr>alat.k!Print_Area</vt:lpstr>
      <vt:lpstr>ATK!Print_Area</vt:lpstr>
      <vt:lpstr>cetak!Print_Area</vt:lpstr>
      <vt:lpstr>Ged.K!Print_Area</vt:lpstr>
      <vt:lpstr>'Hon Keu'!Print_Area</vt:lpstr>
      <vt:lpstr>Kend!Print_Area</vt:lpstr>
      <vt:lpstr>Koran!Print_Area</vt:lpstr>
      <vt:lpstr>listrik!Print_Area</vt:lpstr>
      <vt:lpstr>Litrik!Print_Area</vt:lpstr>
      <vt:lpstr>makan!Print_Area</vt:lpstr>
      <vt:lpstr>Pel.Um!Print_Area</vt:lpstr>
      <vt:lpstr>'Perj.Din. DD'!Print_Area</vt:lpstr>
      <vt:lpstr>'Perj.Din. LD'!Print_Area</vt:lpstr>
      <vt:lpstr>PHL!Print_Area</vt:lpstr>
      <vt:lpstr>RINGKSAN!Print_Area</vt:lpstr>
      <vt:lpstr>RKP!Print_Area</vt:lpstr>
      <vt:lpstr>rumdin!Print_Area</vt:lpstr>
      <vt:lpstr>RKP!Print_Titles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Leksono</dc:creator>
  <cp:lastModifiedBy>LENOVO</cp:lastModifiedBy>
  <cp:lastPrinted>2019-01-28T06:40:31Z</cp:lastPrinted>
  <dcterms:created xsi:type="dcterms:W3CDTF">2007-03-08T00:58:34Z</dcterms:created>
  <dcterms:modified xsi:type="dcterms:W3CDTF">2019-09-13T02:38:35Z</dcterms:modified>
</cp:coreProperties>
</file>